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ustomProperty12.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ustomProperty13.bin" ContentType="application/vnd.openxmlformats-officedocument.spreadsheetml.customProperty"/>
  <Override PartName="/xl/customProperty14.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codeName="ThisWorkbook" defaultThemeVersion="166925"/>
  <mc:AlternateContent xmlns:mc="http://schemas.openxmlformats.org/markup-compatibility/2006">
    <mc:Choice Requires="x15">
      <x15ac:absPath xmlns:x15ac="http://schemas.microsoft.com/office/spreadsheetml/2010/11/ac" url="https://arup-my.sharepoint.com/personal/jessica_picken_arup_com/Documents/Documents/Projects/Phosphates/Somerset Council Phosphate Calculator/"/>
    </mc:Choice>
  </mc:AlternateContent>
  <xr:revisionPtr revIDLastSave="0" documentId="8_{9B16FAA5-034F-41C0-9AC3-4C8E70DA7B42}" xr6:coauthVersionLast="47" xr6:coauthVersionMax="47" xr10:uidLastSave="{00000000-0000-0000-0000-000000000000}"/>
  <bookViews>
    <workbookView xWindow="-110" yWindow="-110" windowWidth="19420" windowHeight="10300" xr2:uid="{A1AD6D46-66A6-464C-852C-C8C3353B978C}"/>
  </bookViews>
  <sheets>
    <sheet name="Introduction" sheetId="8" r:id="rId1"/>
    <sheet name="Info" sheetId="3" r:id="rId2"/>
    <sheet name="Stage 1" sheetId="1" r:id="rId3"/>
    <sheet name="Stage 2" sheetId="4" r:id="rId4"/>
    <sheet name="Stage 3" sheetId="5" r:id="rId5"/>
    <sheet name="Stage 4" sheetId="6" r:id="rId6"/>
    <sheet name="Mitigation look up - current" sheetId="7" r:id="rId7"/>
    <sheet name="Mitigation look up - post 2025" sheetId="35" r:id="rId8"/>
    <sheet name="Mitigation look up - post 2030" sheetId="36" r:id="rId9"/>
    <sheet name="Mitigation comparison" sheetId="14" r:id="rId10"/>
    <sheet name="Data Tables" sheetId="2" r:id="rId11"/>
    <sheet name="Zero value Calc" sheetId="18" r:id="rId12"/>
    <sheet name="Graph Calculations" sheetId="19" state="hidden" r:id="rId13"/>
    <sheet name="Rainfall" sheetId="29" r:id="rId14"/>
    <sheet name="_SSC" sheetId="17" state="veryHidden" r:id="rId15"/>
  </sheets>
  <definedNames>
    <definedName name="_Ctrl_1" hidden="1">Introduction!#REF!</definedName>
    <definedName name="_Ctrl_2" hidden="1">Introduction!#REF!</definedName>
    <definedName name="_Ctrl_3" hidden="1">Introduction!$C$91</definedName>
    <definedName name="_Ctrl_4" hidden="1">Introduction!$C$37</definedName>
    <definedName name="_Ctrl_5" hidden="1">Info!$C$13</definedName>
    <definedName name="_Ctrl_6" hidden="1">Info!$E$8</definedName>
    <definedName name="_Ctrl_65" hidden="1">'Zero value Calc'!#REF!</definedName>
    <definedName name="_Ctrl_7" hidden="1">Info!$E$6</definedName>
    <definedName name="_ctrl_ram_63" localSheetId="12" hidden="1">'Graph Calculations'!#REF!</definedName>
    <definedName name="_ctrl_ram_63" hidden="1">'Zero value Calc'!$K$15</definedName>
    <definedName name="_dep_ram_63" localSheetId="12" hidden="1">'Graph Calculations'!$E$5:$AB$14</definedName>
    <definedName name="_dep_ram_63" hidden="1">'Zero value Calc'!#REF!</definedName>
    <definedName name="No" localSheetId="12">'Graph Calculations'!#REF!</definedName>
    <definedName name="No" localSheetId="11">'Zero value Calc'!#REF!</definedName>
    <definedName name="No">'Stage 4'!#REF!</definedName>
    <definedName name="OsTWs" localSheetId="7">Table3[Treatment type]</definedName>
    <definedName name="OsTWs" localSheetId="8">Table3[Treatment type]</definedName>
    <definedName name="OsTWs">Table3[Treatment type]</definedName>
    <definedName name="permit">'Data Tables'!$B$3:$C$121</definedName>
    <definedName name="permits">'Data Tables'!$B$3:$F$121</definedName>
    <definedName name="permits_2030" localSheetId="7">Table1[]</definedName>
    <definedName name="permits_2030" localSheetId="8">Table1[]</definedName>
    <definedName name="permits_2030">Table1[]</definedName>
    <definedName name="_xlnm.Print_Area" localSheetId="10">'Data Tables'!$B$2:$T$25</definedName>
    <definedName name="_xlnm.Print_Area" localSheetId="12">'Graph Calculations'!$B$2:$C$41</definedName>
    <definedName name="_xlnm.Print_Area" localSheetId="1">Info!$B$3:$N$17</definedName>
    <definedName name="_xlnm.Print_Area" localSheetId="0">Introduction!$B$2:$Q$134</definedName>
    <definedName name="_xlnm.Print_Area" localSheetId="9">'Mitigation comparison'!$B$2:$S$17</definedName>
    <definedName name="_xlnm.Print_Area" localSheetId="6">'Mitigation look up - current'!$B$2:$AB$89</definedName>
    <definedName name="_xlnm.Print_Area" localSheetId="7">'Mitigation look up - post 2025'!$B$2:$AB$89</definedName>
    <definedName name="_xlnm.Print_Area" localSheetId="8">'Mitigation look up - post 2030'!$B$2:$AB$89</definedName>
    <definedName name="_xlnm.Print_Area" localSheetId="2">'Stage 1'!$C$2:$AI$66</definedName>
    <definedName name="_xlnm.Print_Area" localSheetId="3">'Stage 2'!$B$2:$T$49</definedName>
    <definedName name="_xlnm.Print_Area" localSheetId="4">'Stage 3'!$B$2:$N$55</definedName>
    <definedName name="_xlnm.Print_Area" localSheetId="5">'Stage 4'!$B$2:$U$49</definedName>
    <definedName name="_xlnm.Print_Area" localSheetId="11">'Zero value Calc'!$B$2:$C$44</definedName>
    <definedName name="_xlnm.Print_Titles" localSheetId="10">'Data Tables'!$2:$2</definedName>
    <definedName name="Taunton">'Data Tables'!#REF!</definedName>
    <definedName name="Unknown">'Data Tables'!#REF!</definedName>
    <definedName name="w">'Data Tables'!$B$10:$B$26</definedName>
    <definedName name="Wastewater">'Data Tables'!$B$3:$B$121</definedName>
    <definedName name="WwTW">'Data Tables'!$B$10:$B$26</definedName>
    <definedName name="WwTWs">'Stage 1'!$E$39</definedName>
    <definedName name="Yes" localSheetId="12">'Graph Calculations'!#REF!</definedName>
    <definedName name="Yes" localSheetId="11">'Zero value Calc'!$I$26</definedName>
    <definedName name="Yes">'Stage 4'!#REF!</definedName>
  </definedNames>
  <calcPr calcId="191028"/>
  <webPublishObjects count="1">
    <webPublishObject id="9817" divId="Norfolk budget Calc_V1.0_9817" destinationFile="C:\Users\305327\Documents\Environmental Services proposals\Norfolk Nutrients Opportunity\Calculator\Norfolk budget Calc_V1.0.htm" title="Norfolk Nutrient Calculator"/>
  </webPublishObject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2" i="4" l="1"/>
  <c r="X21" i="4"/>
  <c r="W22" i="4"/>
  <c r="W21" i="4"/>
  <c r="P20" i="4"/>
  <c r="O20" i="4"/>
  <c r="Q21" i="4"/>
  <c r="Q22" i="4"/>
  <c r="P21" i="4"/>
  <c r="P22" i="4"/>
  <c r="Q19" i="4"/>
  <c r="Q20" i="4"/>
  <c r="Q23" i="4"/>
  <c r="Q24" i="4"/>
  <c r="Q25" i="4"/>
  <c r="Q26" i="4"/>
  <c r="Q27" i="4"/>
  <c r="Q28" i="4"/>
  <c r="Q29" i="4"/>
  <c r="Q30" i="4"/>
  <c r="Q31" i="4"/>
  <c r="Q32" i="4"/>
  <c r="Q33" i="4"/>
  <c r="Q34" i="4"/>
  <c r="Q35" i="4"/>
  <c r="Q36" i="4"/>
  <c r="P19" i="4"/>
  <c r="P23" i="4"/>
  <c r="P24" i="4"/>
  <c r="P25" i="4"/>
  <c r="P26" i="4"/>
  <c r="P27" i="4"/>
  <c r="P28" i="4"/>
  <c r="P29" i="4"/>
  <c r="P30" i="4"/>
  <c r="P31" i="4"/>
  <c r="P32" i="4"/>
  <c r="P33" i="4"/>
  <c r="P34" i="4"/>
  <c r="P35" i="4"/>
  <c r="P36" i="4"/>
  <c r="O19" i="4"/>
  <c r="O21" i="4"/>
  <c r="O22" i="4"/>
  <c r="O23" i="4"/>
  <c r="O24" i="4"/>
  <c r="O25" i="4"/>
  <c r="O26" i="4"/>
  <c r="O27" i="4"/>
  <c r="O28" i="4"/>
  <c r="O29" i="4"/>
  <c r="O30" i="4"/>
  <c r="O31" i="4"/>
  <c r="O32" i="4"/>
  <c r="O33" i="4"/>
  <c r="O34" i="4"/>
  <c r="O35" i="4"/>
  <c r="O36" i="4"/>
  <c r="Y42" i="2"/>
  <c r="X43" i="2"/>
  <c r="X44" i="2"/>
  <c r="Y43" i="2" l="1"/>
  <c r="S9" i="6"/>
  <c r="K43" i="5"/>
  <c r="K44" i="4"/>
  <c r="AD51" i="1"/>
  <c r="H43" i="2"/>
  <c r="F97" i="2"/>
  <c r="F57" i="2"/>
  <c r="F31" i="2"/>
  <c r="F58" i="2"/>
  <c r="V36" i="4"/>
  <c r="V35" i="4"/>
  <c r="V34" i="4"/>
  <c r="V33" i="4"/>
  <c r="V32" i="4"/>
  <c r="V31" i="4"/>
  <c r="V30" i="4"/>
  <c r="V29" i="4"/>
  <c r="V28" i="4"/>
  <c r="V27" i="4"/>
  <c r="V26" i="4"/>
  <c r="V25" i="4"/>
  <c r="V24" i="4"/>
  <c r="V23" i="4"/>
  <c r="V22" i="4"/>
  <c r="V21" i="4"/>
  <c r="V20" i="4"/>
  <c r="V19" i="4"/>
  <c r="W36" i="4"/>
  <c r="W35" i="4"/>
  <c r="W34" i="4"/>
  <c r="W33" i="4"/>
  <c r="W32" i="4"/>
  <c r="W31" i="4"/>
  <c r="W30" i="4"/>
  <c r="W29" i="4"/>
  <c r="W28" i="4"/>
  <c r="W27" i="4"/>
  <c r="W26" i="4"/>
  <c r="W25" i="4"/>
  <c r="W24" i="4"/>
  <c r="W23" i="4"/>
  <c r="X36" i="4"/>
  <c r="X35" i="4"/>
  <c r="X34" i="4"/>
  <c r="X33" i="4"/>
  <c r="X32" i="4"/>
  <c r="X31" i="4"/>
  <c r="X30" i="4"/>
  <c r="X29" i="4"/>
  <c r="X28" i="4"/>
  <c r="X27" i="4"/>
  <c r="X26" i="4"/>
  <c r="X25" i="4"/>
  <c r="X24" i="4"/>
  <c r="X23" i="4"/>
  <c r="X20" i="4"/>
  <c r="X19" i="4"/>
  <c r="V27" i="1"/>
  <c r="R24" i="5" l="1"/>
  <c r="Q24" i="5" s="1"/>
  <c r="R25" i="5"/>
  <c r="Q25" i="5" s="1"/>
  <c r="R26" i="5"/>
  <c r="Q26" i="5" s="1"/>
  <c r="R27" i="5"/>
  <c r="Q27" i="5" s="1"/>
  <c r="R23" i="5"/>
  <c r="Q23" i="5" s="1"/>
  <c r="R20" i="5"/>
  <c r="Q20" i="5" s="1"/>
  <c r="R21" i="5"/>
  <c r="Q21" i="5" s="1"/>
  <c r="R17" i="5"/>
  <c r="Q17" i="5" s="1"/>
  <c r="R18" i="5"/>
  <c r="Q18" i="5" s="1"/>
  <c r="R15" i="5"/>
  <c r="Q15" i="5" s="1"/>
  <c r="R19" i="5"/>
  <c r="Q19" i="5" s="1"/>
  <c r="R14" i="5"/>
  <c r="Q14" i="5" s="1"/>
  <c r="R22" i="5"/>
  <c r="Q22" i="5" s="1"/>
  <c r="R16" i="5"/>
  <c r="Q16" i="5" s="1"/>
  <c r="AB19" i="4" l="1"/>
  <c r="K38" i="4"/>
  <c r="Z22" i="4"/>
  <c r="Z21" i="4"/>
  <c r="Z24" i="4"/>
  <c r="Z23" i="4"/>
  <c r="F120" i="2"/>
  <c r="H121" i="2"/>
  <c r="F121" i="2"/>
  <c r="H116" i="2"/>
  <c r="H115" i="2"/>
  <c r="F116" i="2"/>
  <c r="F115" i="2"/>
  <c r="F106" i="2"/>
  <c r="F99" i="2"/>
  <c r="H93" i="2"/>
  <c r="F93" i="2"/>
  <c r="F91" i="2"/>
  <c r="H70" i="2"/>
  <c r="F70" i="2"/>
  <c r="F69" i="2"/>
  <c r="F67" i="2"/>
  <c r="F64" i="2"/>
  <c r="F54" i="2"/>
  <c r="D54" i="2"/>
  <c r="F53" i="2"/>
  <c r="H48" i="2"/>
  <c r="F48" i="2"/>
  <c r="H38" i="2"/>
  <c r="F38" i="2"/>
  <c r="F21" i="2"/>
  <c r="F9" i="2"/>
  <c r="M8" i="14"/>
  <c r="M9" i="14"/>
  <c r="M10" i="14"/>
  <c r="M11" i="14"/>
  <c r="M12" i="14"/>
  <c r="M7" i="14"/>
  <c r="L87" i="36"/>
  <c r="P72" i="36"/>
  <c r="P71" i="36"/>
  <c r="P70" i="36"/>
  <c r="P69" i="36"/>
  <c r="P68" i="36"/>
  <c r="P67" i="36"/>
  <c r="L46" i="36"/>
  <c r="Y42" i="36"/>
  <c r="K42" i="36"/>
  <c r="E42" i="36"/>
  <c r="S42" i="36" s="1"/>
  <c r="Y41" i="36"/>
  <c r="K41" i="36"/>
  <c r="E41" i="36"/>
  <c r="S41" i="36" s="1"/>
  <c r="Y40" i="36"/>
  <c r="K40" i="36"/>
  <c r="E40" i="36"/>
  <c r="S40" i="36" s="1"/>
  <c r="Y39" i="36"/>
  <c r="K39" i="36"/>
  <c r="E39" i="36"/>
  <c r="S39" i="36" s="1"/>
  <c r="AA38" i="36"/>
  <c r="Z38" i="36"/>
  <c r="Y38" i="36"/>
  <c r="AA37" i="36"/>
  <c r="Z37" i="36"/>
  <c r="Y37" i="36"/>
  <c r="E37" i="36"/>
  <c r="S37" i="36" s="1"/>
  <c r="AA36" i="36"/>
  <c r="Z36" i="36"/>
  <c r="Y36" i="36"/>
  <c r="E36" i="36"/>
  <c r="S36" i="36" s="1"/>
  <c r="AA35" i="36"/>
  <c r="Z35" i="36"/>
  <c r="Y35" i="36"/>
  <c r="E35" i="36"/>
  <c r="S35" i="36" s="1"/>
  <c r="AA34" i="36"/>
  <c r="Z34" i="36"/>
  <c r="Y34" i="36"/>
  <c r="E34" i="36"/>
  <c r="S34" i="36" s="1"/>
  <c r="AA33" i="36"/>
  <c r="Z33" i="36"/>
  <c r="Y33" i="36"/>
  <c r="S33" i="36"/>
  <c r="E33" i="36"/>
  <c r="AA32" i="36"/>
  <c r="Z32" i="36"/>
  <c r="Y32" i="36"/>
  <c r="E32" i="36"/>
  <c r="S32" i="36" s="1"/>
  <c r="AA31" i="36"/>
  <c r="Z31" i="36"/>
  <c r="Y31" i="36"/>
  <c r="E31" i="36"/>
  <c r="S31" i="36" s="1"/>
  <c r="AA30" i="36"/>
  <c r="Z30" i="36"/>
  <c r="Y30" i="36"/>
  <c r="E30" i="36"/>
  <c r="S30" i="36" s="1"/>
  <c r="AA29" i="36"/>
  <c r="Z29" i="36"/>
  <c r="Y29" i="36"/>
  <c r="E29" i="36"/>
  <c r="S29" i="36" s="1"/>
  <c r="Y28" i="36"/>
  <c r="Y27" i="36"/>
  <c r="Y26" i="36"/>
  <c r="S26" i="36"/>
  <c r="E26" i="36"/>
  <c r="L87" i="35"/>
  <c r="P72" i="35"/>
  <c r="P71" i="35"/>
  <c r="P70" i="35"/>
  <c r="P69" i="35"/>
  <c r="P68" i="35"/>
  <c r="P67" i="35"/>
  <c r="L46" i="35"/>
  <c r="Y42" i="35"/>
  <c r="K42" i="35"/>
  <c r="E42" i="35"/>
  <c r="S42" i="35" s="1"/>
  <c r="Y41" i="35"/>
  <c r="S41" i="35"/>
  <c r="K41" i="35"/>
  <c r="E41" i="35"/>
  <c r="Y40" i="35"/>
  <c r="K40" i="35"/>
  <c r="E40" i="35"/>
  <c r="S40" i="35" s="1"/>
  <c r="Y39" i="35"/>
  <c r="K39" i="35"/>
  <c r="E39" i="35"/>
  <c r="S39" i="35" s="1"/>
  <c r="AA38" i="35"/>
  <c r="Z38" i="35"/>
  <c r="Y38" i="35"/>
  <c r="AA37" i="35"/>
  <c r="Z37" i="35"/>
  <c r="Y37" i="35"/>
  <c r="E37" i="35"/>
  <c r="S37" i="35" s="1"/>
  <c r="AA36" i="35"/>
  <c r="Z36" i="35"/>
  <c r="Y36" i="35"/>
  <c r="E36" i="35"/>
  <c r="S36" i="35" s="1"/>
  <c r="AA35" i="35"/>
  <c r="Z35" i="35"/>
  <c r="Y35" i="35"/>
  <c r="E35" i="35"/>
  <c r="S35" i="35" s="1"/>
  <c r="AA34" i="35"/>
  <c r="Z34" i="35"/>
  <c r="Y34" i="35"/>
  <c r="E34" i="35"/>
  <c r="S34" i="35" s="1"/>
  <c r="AA33" i="35"/>
  <c r="Z33" i="35"/>
  <c r="Y33" i="35"/>
  <c r="E33" i="35"/>
  <c r="S33" i="35" s="1"/>
  <c r="AA32" i="35"/>
  <c r="Z32" i="35"/>
  <c r="Y32" i="35"/>
  <c r="S32" i="35"/>
  <c r="E32" i="35"/>
  <c r="AA31" i="35"/>
  <c r="Z31" i="35"/>
  <c r="Y31" i="35"/>
  <c r="E31" i="35"/>
  <c r="S31" i="35" s="1"/>
  <c r="AA30" i="35"/>
  <c r="Z30" i="35"/>
  <c r="Y30" i="35"/>
  <c r="E30" i="35"/>
  <c r="S30" i="35" s="1"/>
  <c r="AA29" i="35"/>
  <c r="Z29" i="35"/>
  <c r="Y29" i="35"/>
  <c r="S29" i="35"/>
  <c r="E29" i="35"/>
  <c r="Y28" i="35"/>
  <c r="Y27" i="35"/>
  <c r="Y26" i="35"/>
  <c r="X46" i="35" s="1"/>
  <c r="E26" i="35"/>
  <c r="S26" i="35" s="1"/>
  <c r="AA31" i="7"/>
  <c r="AA32" i="7"/>
  <c r="AA33" i="7"/>
  <c r="AA34" i="7"/>
  <c r="AA35" i="7"/>
  <c r="AA36" i="7"/>
  <c r="AA37" i="7"/>
  <c r="AA38" i="7"/>
  <c r="AA30" i="7"/>
  <c r="AA29" i="7"/>
  <c r="L46" i="7"/>
  <c r="Z30" i="7"/>
  <c r="Z31" i="7"/>
  <c r="Z32" i="7"/>
  <c r="Z33" i="7"/>
  <c r="Z34" i="7"/>
  <c r="Z35" i="7"/>
  <c r="Z36" i="7"/>
  <c r="Z37" i="7"/>
  <c r="Z38" i="7"/>
  <c r="Z29" i="7"/>
  <c r="Y32" i="7"/>
  <c r="Y33" i="7"/>
  <c r="Y34" i="7"/>
  <c r="Y35" i="7"/>
  <c r="Y36" i="7"/>
  <c r="Y37" i="7"/>
  <c r="Y38" i="7"/>
  <c r="Y31" i="7"/>
  <c r="Y29" i="7"/>
  <c r="Y28" i="7"/>
  <c r="Y27" i="7"/>
  <c r="Y26" i="7"/>
  <c r="Y30" i="7"/>
  <c r="AB24" i="4"/>
  <c r="AB25" i="4"/>
  <c r="AB26" i="4"/>
  <c r="AB27" i="4"/>
  <c r="AB28" i="4"/>
  <c r="AB29" i="4"/>
  <c r="AB30" i="4"/>
  <c r="AB31" i="4"/>
  <c r="AB32" i="4"/>
  <c r="AB23" i="4"/>
  <c r="AA23" i="4"/>
  <c r="AB36" i="4"/>
  <c r="AB35" i="4"/>
  <c r="AB34" i="4"/>
  <c r="AB33" i="4"/>
  <c r="AA36" i="4"/>
  <c r="AA35" i="4"/>
  <c r="Z36" i="4"/>
  <c r="Z35" i="4"/>
  <c r="Z34" i="4"/>
  <c r="AA34" i="4"/>
  <c r="AA33" i="4"/>
  <c r="Z33" i="4"/>
  <c r="Z32" i="4"/>
  <c r="AA32" i="4"/>
  <c r="AB22" i="4"/>
  <c r="AB21" i="4"/>
  <c r="Z31" i="4"/>
  <c r="AA31" i="4"/>
  <c r="AA24" i="4"/>
  <c r="Z25" i="4"/>
  <c r="AA25" i="4"/>
  <c r="Z26" i="4"/>
  <c r="AA26" i="4"/>
  <c r="AA27" i="4"/>
  <c r="Z28" i="4"/>
  <c r="AA28" i="4"/>
  <c r="Z29" i="4"/>
  <c r="AA29" i="4"/>
  <c r="Z30" i="4"/>
  <c r="AA30" i="4"/>
  <c r="Q18" i="4"/>
  <c r="P18" i="4"/>
  <c r="O18" i="4"/>
  <c r="O38" i="4" l="1"/>
  <c r="Q38" i="4"/>
  <c r="AB20" i="4"/>
  <c r="Z20" i="4"/>
  <c r="Z19" i="4"/>
  <c r="K33" i="36"/>
  <c r="Z27" i="4"/>
  <c r="K36" i="35"/>
  <c r="K37" i="36"/>
  <c r="K28" i="36"/>
  <c r="X46" i="36"/>
  <c r="P49" i="36" s="1"/>
  <c r="K29" i="35"/>
  <c r="K34" i="35"/>
  <c r="K38" i="36"/>
  <c r="K30" i="35"/>
  <c r="K31" i="7"/>
  <c r="K35" i="7"/>
  <c r="K30" i="7"/>
  <c r="K32" i="35"/>
  <c r="K36" i="7"/>
  <c r="K30" i="36"/>
  <c r="K34" i="36"/>
  <c r="P74" i="36"/>
  <c r="K28" i="35"/>
  <c r="K34" i="7"/>
  <c r="K36" i="36"/>
  <c r="K38" i="7"/>
  <c r="K35" i="35"/>
  <c r="K38" i="35"/>
  <c r="K37" i="7"/>
  <c r="K29" i="7"/>
  <c r="K29" i="36"/>
  <c r="K28" i="7"/>
  <c r="K31" i="35"/>
  <c r="K32" i="36"/>
  <c r="K35" i="36"/>
  <c r="K37" i="35"/>
  <c r="P49" i="35"/>
  <c r="P80" i="35" s="1"/>
  <c r="P74" i="35"/>
  <c r="K31" i="36"/>
  <c r="K33" i="7"/>
  <c r="K33" i="35"/>
  <c r="K32" i="7"/>
  <c r="P82" i="35" l="1"/>
  <c r="P84" i="35"/>
  <c r="P83" i="35"/>
  <c r="P85" i="35"/>
  <c r="P85" i="36"/>
  <c r="P84" i="36"/>
  <c r="P83" i="36"/>
  <c r="P82" i="36"/>
  <c r="P80" i="36"/>
  <c r="F73" i="2"/>
  <c r="H11" i="2"/>
  <c r="H117" i="2"/>
  <c r="H101" i="2"/>
  <c r="H100" i="2"/>
  <c r="H90" i="2"/>
  <c r="H58" i="2"/>
  <c r="H52" i="2"/>
  <c r="H49" i="2"/>
  <c r="F39" i="2"/>
  <c r="D39" i="2"/>
  <c r="H32" i="2"/>
  <c r="H27" i="2"/>
  <c r="D24" i="2"/>
  <c r="D23" i="2"/>
  <c r="H22" i="2"/>
  <c r="F23" i="2" l="1"/>
  <c r="F24" i="2"/>
  <c r="H23" i="2"/>
  <c r="H24" i="2"/>
  <c r="F18" i="2"/>
  <c r="D14" i="2"/>
  <c r="G8" i="2"/>
  <c r="K47" i="5" l="1"/>
  <c r="AH45" i="2"/>
  <c r="AH46" i="2"/>
  <c r="AH47" i="2"/>
  <c r="AH48" i="2"/>
  <c r="AH49" i="2"/>
  <c r="AH50" i="2"/>
  <c r="AH51" i="2"/>
  <c r="AH52" i="2"/>
  <c r="AG45" i="2"/>
  <c r="AG46" i="2"/>
  <c r="AG47" i="2"/>
  <c r="AG48" i="2"/>
  <c r="AG49" i="2"/>
  <c r="AG50" i="2"/>
  <c r="AG51" i="2"/>
  <c r="AG52" i="2"/>
  <c r="AF45" i="2"/>
  <c r="AF46" i="2"/>
  <c r="AF47" i="2"/>
  <c r="AF48" i="2"/>
  <c r="AF49" i="2"/>
  <c r="AF50" i="2"/>
  <c r="AF51" i="2"/>
  <c r="AF52" i="2"/>
  <c r="AE45" i="2"/>
  <c r="AE46" i="2"/>
  <c r="AE47" i="2"/>
  <c r="AE48" i="2"/>
  <c r="AE49" i="2"/>
  <c r="AE50" i="2"/>
  <c r="AE51" i="2"/>
  <c r="AE52" i="2"/>
  <c r="AD51" i="2"/>
  <c r="AD50" i="2"/>
  <c r="AD48" i="2"/>
  <c r="AD47" i="2"/>
  <c r="AD46" i="2"/>
  <c r="AD45" i="2"/>
  <c r="AD49" i="2"/>
  <c r="AD52" i="2"/>
  <c r="G118" i="2" l="1"/>
  <c r="H118" i="2" s="1"/>
  <c r="G119" i="2"/>
  <c r="H119" i="2" s="1"/>
  <c r="G109" i="2"/>
  <c r="H109" i="2" s="1"/>
  <c r="G110" i="2"/>
  <c r="H110" i="2" s="1"/>
  <c r="G111" i="2"/>
  <c r="H111" i="2" s="1"/>
  <c r="G112" i="2"/>
  <c r="H112" i="2" s="1"/>
  <c r="G113" i="2"/>
  <c r="H113" i="2" s="1"/>
  <c r="G114" i="2"/>
  <c r="H114" i="2" s="1"/>
  <c r="G108" i="2"/>
  <c r="H108" i="2" s="1"/>
  <c r="G102" i="2"/>
  <c r="H102" i="2" s="1"/>
  <c r="G103" i="2"/>
  <c r="H103" i="2" s="1"/>
  <c r="G104" i="2"/>
  <c r="G105" i="2"/>
  <c r="H105" i="2" s="1"/>
  <c r="G98" i="2"/>
  <c r="H98" i="2" s="1"/>
  <c r="G95" i="2"/>
  <c r="H95" i="2" s="1"/>
  <c r="G96" i="2"/>
  <c r="H96" i="2" s="1"/>
  <c r="G94" i="2"/>
  <c r="H94" i="2" s="1"/>
  <c r="G92" i="2"/>
  <c r="H92" i="2" s="1"/>
  <c r="G89" i="2"/>
  <c r="H89" i="2" s="1"/>
  <c r="G88" i="2"/>
  <c r="H88" i="2" s="1"/>
  <c r="G85" i="2"/>
  <c r="H85" i="2" s="1"/>
  <c r="G72" i="2"/>
  <c r="H72" i="2" s="1"/>
  <c r="G73" i="2"/>
  <c r="H73" i="2" s="1"/>
  <c r="G74" i="2"/>
  <c r="H74" i="2" s="1"/>
  <c r="G75" i="2"/>
  <c r="H75" i="2" s="1"/>
  <c r="G76" i="2"/>
  <c r="H76" i="2" s="1"/>
  <c r="G77" i="2"/>
  <c r="H77" i="2" s="1"/>
  <c r="G78" i="2"/>
  <c r="H78" i="2" s="1"/>
  <c r="G79" i="2"/>
  <c r="H79" i="2" s="1"/>
  <c r="G80" i="2"/>
  <c r="H80" i="2" s="1"/>
  <c r="G81" i="2"/>
  <c r="H81" i="2" s="1"/>
  <c r="G82" i="2"/>
  <c r="H82" i="2" s="1"/>
  <c r="G83" i="2"/>
  <c r="H83" i="2" s="1"/>
  <c r="G71" i="2"/>
  <c r="H71" i="2" s="1"/>
  <c r="G68" i="2"/>
  <c r="H68" i="2" s="1"/>
  <c r="G66" i="2"/>
  <c r="H66" i="2" s="1"/>
  <c r="G65" i="2"/>
  <c r="H65" i="2" s="1"/>
  <c r="G59" i="2"/>
  <c r="H59" i="2" s="1"/>
  <c r="G60" i="2"/>
  <c r="H60" i="2" s="1"/>
  <c r="G61" i="2"/>
  <c r="H61" i="2" s="1"/>
  <c r="G62" i="2"/>
  <c r="H62" i="2" s="1"/>
  <c r="G63" i="2"/>
  <c r="H63" i="2" s="1"/>
  <c r="G56" i="2"/>
  <c r="H56" i="2" s="1"/>
  <c r="G50" i="2"/>
  <c r="G51" i="2"/>
  <c r="H51" i="2" s="1"/>
  <c r="G46" i="2"/>
  <c r="H46" i="2" s="1"/>
  <c r="H47" i="2"/>
  <c r="G45" i="2"/>
  <c r="H45" i="2" s="1"/>
  <c r="G42" i="2"/>
  <c r="H42" i="2" s="1"/>
  <c r="G40" i="2"/>
  <c r="H40" i="2" s="1"/>
  <c r="G33" i="2"/>
  <c r="H33" i="2" s="1"/>
  <c r="G34" i="2"/>
  <c r="H34" i="2" s="1"/>
  <c r="G35" i="2"/>
  <c r="H35" i="2" s="1"/>
  <c r="G36" i="2"/>
  <c r="H36" i="2" s="1"/>
  <c r="G37" i="2"/>
  <c r="H37" i="2" s="1"/>
  <c r="G25" i="2"/>
  <c r="H25" i="2" s="1"/>
  <c r="G26" i="2"/>
  <c r="H26" i="2" s="1"/>
  <c r="G28" i="2"/>
  <c r="H28" i="2" s="1"/>
  <c r="G29" i="2"/>
  <c r="H29" i="2" s="1"/>
  <c r="G30" i="2"/>
  <c r="H30" i="2" s="1"/>
  <c r="G19" i="2"/>
  <c r="H19" i="2" s="1"/>
  <c r="H120" i="2"/>
  <c r="H107" i="2"/>
  <c r="H106" i="2"/>
  <c r="H99" i="2"/>
  <c r="H97" i="2"/>
  <c r="H91" i="2"/>
  <c r="H87" i="2"/>
  <c r="H86" i="2"/>
  <c r="H84" i="2"/>
  <c r="H69" i="2"/>
  <c r="H67" i="2"/>
  <c r="H64" i="2"/>
  <c r="H57" i="2"/>
  <c r="H14" i="2"/>
  <c r="F55" i="2"/>
  <c r="H55" i="2"/>
  <c r="H54" i="2"/>
  <c r="H53" i="2"/>
  <c r="H44" i="2"/>
  <c r="H41" i="2"/>
  <c r="H39" i="2"/>
  <c r="H31" i="2"/>
  <c r="H21" i="2"/>
  <c r="H20" i="2"/>
  <c r="H18" i="2"/>
  <c r="H17" i="2"/>
  <c r="H9" i="2"/>
  <c r="H8" i="2"/>
  <c r="H15" i="2"/>
  <c r="H50" i="2"/>
  <c r="H104" i="2"/>
  <c r="G16" i="2"/>
  <c r="H16" i="2" s="1"/>
  <c r="G12" i="2"/>
  <c r="H12" i="2" s="1"/>
  <c r="G13" i="2"/>
  <c r="H13" i="2" s="1"/>
  <c r="G10" i="2"/>
  <c r="H10" i="2" s="1"/>
  <c r="G4" i="2"/>
  <c r="H4" i="2" s="1"/>
  <c r="G5" i="2"/>
  <c r="H5" i="2" s="1"/>
  <c r="G6" i="2"/>
  <c r="H6" i="2" s="1"/>
  <c r="G7" i="2"/>
  <c r="H7" i="2" s="1"/>
  <c r="G3" i="2"/>
  <c r="H3" i="2" s="1"/>
  <c r="M51" i="1" s="1"/>
  <c r="F107" i="2"/>
  <c r="F87" i="2"/>
  <c r="F86" i="2"/>
  <c r="F84" i="2"/>
  <c r="F44" i="2"/>
  <c r="F41" i="2"/>
  <c r="F20" i="2"/>
  <c r="F15" i="2"/>
  <c r="F14" i="2"/>
  <c r="F3" i="2"/>
  <c r="F4" i="2"/>
  <c r="F5" i="2"/>
  <c r="F6" i="2"/>
  <c r="F7" i="2"/>
  <c r="F8" i="2"/>
  <c r="F10" i="2"/>
  <c r="F11" i="2"/>
  <c r="F12" i="2"/>
  <c r="F13" i="2"/>
  <c r="F16" i="2"/>
  <c r="F17" i="2"/>
  <c r="F19" i="2"/>
  <c r="F22" i="2"/>
  <c r="F25" i="2"/>
  <c r="F26" i="2"/>
  <c r="F27" i="2"/>
  <c r="F28" i="2"/>
  <c r="F29" i="2"/>
  <c r="F30" i="2"/>
  <c r="F32" i="2"/>
  <c r="F33" i="2"/>
  <c r="F34" i="2"/>
  <c r="F35" i="2"/>
  <c r="F36" i="2"/>
  <c r="F37" i="2"/>
  <c r="F40" i="2"/>
  <c r="F42" i="2"/>
  <c r="F43" i="2"/>
  <c r="F45" i="2"/>
  <c r="F46" i="2"/>
  <c r="F47" i="2"/>
  <c r="F49" i="2"/>
  <c r="F50" i="2"/>
  <c r="F51" i="2"/>
  <c r="F52" i="2"/>
  <c r="F56" i="2"/>
  <c r="F59" i="2"/>
  <c r="F60" i="2"/>
  <c r="F61" i="2"/>
  <c r="F62" i="2"/>
  <c r="F63" i="2"/>
  <c r="F65" i="2"/>
  <c r="F66" i="2"/>
  <c r="F68" i="2"/>
  <c r="F71" i="2"/>
  <c r="F72" i="2"/>
  <c r="F74" i="2"/>
  <c r="F75" i="2"/>
  <c r="F76" i="2"/>
  <c r="F77" i="2"/>
  <c r="F78" i="2"/>
  <c r="F79" i="2"/>
  <c r="F80" i="2"/>
  <c r="F81" i="2"/>
  <c r="F82" i="2"/>
  <c r="F83" i="2"/>
  <c r="F85" i="2"/>
  <c r="F88" i="2"/>
  <c r="F89" i="2"/>
  <c r="F90" i="2"/>
  <c r="F92" i="2"/>
  <c r="F94" i="2"/>
  <c r="F95" i="2"/>
  <c r="F96" i="2"/>
  <c r="F98" i="2"/>
  <c r="F100" i="2"/>
  <c r="F101" i="2"/>
  <c r="F102" i="2"/>
  <c r="F103" i="2"/>
  <c r="F104" i="2"/>
  <c r="F105" i="2"/>
  <c r="F108" i="2"/>
  <c r="F109" i="2"/>
  <c r="F110" i="2"/>
  <c r="F111" i="2"/>
  <c r="F112" i="2"/>
  <c r="F113" i="2"/>
  <c r="F114" i="2"/>
  <c r="F117" i="2"/>
  <c r="F118" i="2"/>
  <c r="F119" i="2"/>
  <c r="D120" i="2"/>
  <c r="D107" i="2"/>
  <c r="D106" i="2"/>
  <c r="D99" i="2"/>
  <c r="D97" i="2"/>
  <c r="D93" i="2"/>
  <c r="D86" i="2"/>
  <c r="D84" i="2"/>
  <c r="D55" i="2"/>
  <c r="D53" i="2"/>
  <c r="D44" i="2"/>
  <c r="D41" i="2"/>
  <c r="D15" i="2"/>
  <c r="D16" i="2"/>
  <c r="D17" i="2"/>
  <c r="D18" i="2"/>
  <c r="D19" i="2"/>
  <c r="D20" i="2"/>
  <c r="D21" i="2"/>
  <c r="D22" i="2"/>
  <c r="D25" i="2"/>
  <c r="D26" i="2"/>
  <c r="D27" i="2"/>
  <c r="D28" i="2"/>
  <c r="D29" i="2"/>
  <c r="D30" i="2"/>
  <c r="D31" i="2"/>
  <c r="D32" i="2"/>
  <c r="D33" i="2"/>
  <c r="D34" i="2"/>
  <c r="D35" i="2"/>
  <c r="D36" i="2"/>
  <c r="D37" i="2"/>
  <c r="D38" i="2"/>
  <c r="D40" i="2"/>
  <c r="D42" i="2"/>
  <c r="D43" i="2"/>
  <c r="D45" i="2"/>
  <c r="D46" i="2"/>
  <c r="D47" i="2"/>
  <c r="D48" i="2"/>
  <c r="D49" i="2"/>
  <c r="D50" i="2"/>
  <c r="D51" i="2"/>
  <c r="D52"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5" i="2"/>
  <c r="D87" i="2"/>
  <c r="D88" i="2"/>
  <c r="D89" i="2"/>
  <c r="D90" i="2"/>
  <c r="D91" i="2"/>
  <c r="D92" i="2"/>
  <c r="D94" i="2"/>
  <c r="D95" i="2"/>
  <c r="D96" i="2"/>
  <c r="D98" i="2"/>
  <c r="D100" i="2"/>
  <c r="D101" i="2"/>
  <c r="D102" i="2"/>
  <c r="D103" i="2"/>
  <c r="D104" i="2"/>
  <c r="D105" i="2"/>
  <c r="D108" i="2"/>
  <c r="D109" i="2"/>
  <c r="D110" i="2"/>
  <c r="D111" i="2"/>
  <c r="D112" i="2"/>
  <c r="D113" i="2"/>
  <c r="D114" i="2"/>
  <c r="D115" i="2"/>
  <c r="D116" i="2"/>
  <c r="D117" i="2"/>
  <c r="D118" i="2"/>
  <c r="D119" i="2"/>
  <c r="D121" i="2"/>
  <c r="D4" i="2"/>
  <c r="D5" i="2"/>
  <c r="D6" i="2"/>
  <c r="D7" i="2"/>
  <c r="D8" i="2"/>
  <c r="D9" i="2"/>
  <c r="D10" i="2"/>
  <c r="D11" i="2"/>
  <c r="D12" i="2"/>
  <c r="D13" i="2"/>
  <c r="D3" i="2"/>
  <c r="K51" i="1" s="1"/>
  <c r="L51" i="1" s="1"/>
  <c r="S12" i="6" s="1"/>
  <c r="L50" i="1" l="1"/>
  <c r="D52" i="1"/>
  <c r="P68" i="7"/>
  <c r="Y39" i="7" l="1"/>
  <c r="R10" i="6" l="1"/>
  <c r="P71" i="7" l="1"/>
  <c r="P67" i="7"/>
  <c r="K7" i="14" s="1"/>
  <c r="X42" i="2"/>
  <c r="E27" i="35" l="1"/>
  <c r="S27" i="35" s="1"/>
  <c r="E27" i="36"/>
  <c r="S27" i="36" s="1"/>
  <c r="E28" i="36"/>
  <c r="S28" i="36" s="1"/>
  <c r="E28" i="35"/>
  <c r="S28" i="35" s="1"/>
  <c r="AG44" i="2"/>
  <c r="AF44" i="2"/>
  <c r="AH44" i="2"/>
  <c r="AD44" i="2"/>
  <c r="AE44" i="2"/>
  <c r="AB42" i="2"/>
  <c r="AG42" i="2"/>
  <c r="AD42" i="2"/>
  <c r="AF42" i="2"/>
  <c r="AH42" i="2"/>
  <c r="AE42" i="2"/>
  <c r="AF43" i="2"/>
  <c r="AH43" i="2"/>
  <c r="AE43" i="2"/>
  <c r="AD43" i="2"/>
  <c r="AG43" i="2"/>
  <c r="AA48" i="2"/>
  <c r="AA49" i="2"/>
  <c r="AA50" i="2"/>
  <c r="AA51" i="2"/>
  <c r="AA52" i="2"/>
  <c r="Y49" i="2"/>
  <c r="Y52" i="2"/>
  <c r="Y47" i="2"/>
  <c r="Y48" i="2"/>
  <c r="Y50" i="2"/>
  <c r="Y51" i="2"/>
  <c r="AB48" i="2"/>
  <c r="AB51" i="2"/>
  <c r="AB49" i="2"/>
  <c r="AB50" i="2"/>
  <c r="AB52" i="2"/>
  <c r="AC50" i="2"/>
  <c r="AC51" i="2"/>
  <c r="AC52" i="2"/>
  <c r="AC49" i="2"/>
  <c r="AC48" i="2"/>
  <c r="Z46" i="2"/>
  <c r="Z51" i="2"/>
  <c r="Z52" i="2"/>
  <c r="Z50" i="2"/>
  <c r="Z49" i="2"/>
  <c r="Z48" i="2"/>
  <c r="Y44" i="2"/>
  <c r="AC43" i="2"/>
  <c r="AA42" i="2"/>
  <c r="AB47" i="2"/>
  <c r="AC45" i="2"/>
  <c r="AC44" i="2"/>
  <c r="AC42" i="2"/>
  <c r="Y46" i="2"/>
  <c r="AB45" i="2"/>
  <c r="AA43" i="2"/>
  <c r="AC46" i="2"/>
  <c r="AA45" i="2"/>
  <c r="AA44" i="2"/>
  <c r="Z43" i="2"/>
  <c r="Y45" i="2"/>
  <c r="AA47" i="2"/>
  <c r="AB46" i="2"/>
  <c r="Z42" i="2"/>
  <c r="Z47" i="2"/>
  <c r="AB44" i="2"/>
  <c r="AB43" i="2"/>
  <c r="AC47" i="2"/>
  <c r="AA46" i="2"/>
  <c r="Z45" i="2"/>
  <c r="Z44" i="2"/>
  <c r="R13" i="5" l="1"/>
  <c r="Q13" i="5" s="1"/>
  <c r="K56" i="5"/>
  <c r="W19" i="4"/>
  <c r="R10" i="5" s="1"/>
  <c r="Q10" i="5" s="1"/>
  <c r="R12" i="5"/>
  <c r="Q12" i="5" s="1"/>
  <c r="W20" i="4"/>
  <c r="P81" i="35"/>
  <c r="P81" i="36"/>
  <c r="K40" i="7"/>
  <c r="K41" i="7"/>
  <c r="K39" i="7"/>
  <c r="K42" i="7"/>
  <c r="L87" i="7"/>
  <c r="Y40" i="7"/>
  <c r="Y41" i="7"/>
  <c r="Y42" i="7"/>
  <c r="E29" i="7"/>
  <c r="S29" i="7" s="1"/>
  <c r="E30" i="7"/>
  <c r="S30" i="7" s="1"/>
  <c r="E31" i="7"/>
  <c r="S31" i="7" s="1"/>
  <c r="E32" i="7"/>
  <c r="S32" i="7" s="1"/>
  <c r="E33" i="7"/>
  <c r="S33" i="7" s="1"/>
  <c r="E34" i="7"/>
  <c r="S34" i="7" s="1"/>
  <c r="E35" i="7"/>
  <c r="S35" i="7" s="1"/>
  <c r="E36" i="7"/>
  <c r="S36" i="7" s="1"/>
  <c r="E39" i="7"/>
  <c r="S39" i="7" s="1"/>
  <c r="E40" i="7"/>
  <c r="S40" i="7" s="1"/>
  <c r="E41" i="7"/>
  <c r="S41" i="7" s="1"/>
  <c r="E42" i="7"/>
  <c r="S42" i="7" s="1"/>
  <c r="AA22" i="4" l="1"/>
  <c r="P38" i="4"/>
  <c r="K48" i="4" s="1"/>
  <c r="AA19" i="4"/>
  <c r="K26" i="7"/>
  <c r="K26" i="35"/>
  <c r="K26" i="36"/>
  <c r="R11" i="5"/>
  <c r="Q11" i="5" s="1"/>
  <c r="K53" i="5" s="1"/>
  <c r="S19" i="6" s="1"/>
  <c r="AA20" i="4"/>
  <c r="AA21" i="4"/>
  <c r="K27" i="7"/>
  <c r="K27" i="36"/>
  <c r="K27" i="35"/>
  <c r="X46" i="7"/>
  <c r="P49" i="7" s="1"/>
  <c r="P70" i="7" s="1"/>
  <c r="L21" i="7" l="1"/>
  <c r="L21" i="35"/>
  <c r="S17" i="6"/>
  <c r="L21" i="36"/>
  <c r="P69" i="7"/>
  <c r="P80" i="7"/>
  <c r="P81" i="7"/>
  <c r="P72" i="7"/>
  <c r="P82" i="7"/>
  <c r="K15" i="18" l="1"/>
  <c r="S10" i="6" l="1"/>
  <c r="E28" i="7" l="1"/>
  <c r="S28" i="7" s="1"/>
  <c r="E27" i="7"/>
  <c r="S27" i="7" s="1"/>
  <c r="E37" i="7"/>
  <c r="S37" i="7" s="1"/>
  <c r="E26" i="7"/>
  <c r="S26" i="7" s="1"/>
  <c r="K19" i="18" l="1"/>
  <c r="M29" i="6" l="1"/>
  <c r="M10" i="6" l="1"/>
  <c r="M17" i="6"/>
  <c r="V63" i="1"/>
  <c r="M8" i="6"/>
  <c r="M22" i="6"/>
  <c r="M36" i="6"/>
  <c r="D43" i="6"/>
  <c r="M27" i="6"/>
  <c r="V64" i="1"/>
  <c r="M19" i="6"/>
  <c r="R12" i="6"/>
  <c r="S13" i="6"/>
  <c r="V34" i="1"/>
  <c r="M59" i="1" l="1"/>
  <c r="L59" i="1"/>
  <c r="AD59" i="1"/>
  <c r="S11" i="6"/>
  <c r="K59" i="1"/>
  <c r="V65" i="1" l="1"/>
  <c r="M12" i="6" s="1"/>
  <c r="M24" i="6" s="1"/>
  <c r="M30" i="6" s="1"/>
  <c r="M38" i="6" s="1"/>
  <c r="L10" i="35" s="1"/>
  <c r="U65" i="1"/>
  <c r="K12" i="6" s="1"/>
  <c r="W65" i="1"/>
  <c r="O12" i="6" s="1"/>
  <c r="L58" i="1"/>
  <c r="D44" i="6" l="1"/>
  <c r="K23" i="18"/>
  <c r="K16" i="18" l="1"/>
  <c r="I12" i="19" l="1"/>
  <c r="F12" i="19"/>
  <c r="P85" i="7"/>
  <c r="P83" i="7"/>
  <c r="P84" i="7"/>
  <c r="F9" i="19"/>
  <c r="K8" i="14" l="1"/>
  <c r="K11" i="14"/>
  <c r="K9" i="14"/>
  <c r="O9" i="14" s="1"/>
  <c r="L9" i="19" l="1"/>
  <c r="P12" i="19"/>
  <c r="P13" i="19" s="1"/>
  <c r="L12" i="19"/>
  <c r="L13" i="19" s="1"/>
  <c r="K12" i="14"/>
  <c r="O12" i="14" s="1"/>
  <c r="K10" i="14"/>
  <c r="O10" i="14" s="1"/>
  <c r="O7" i="14"/>
  <c r="O8" i="14"/>
  <c r="F13" i="19"/>
  <c r="O12" i="19"/>
  <c r="O13" i="19" s="1"/>
  <c r="W12" i="19"/>
  <c r="W13" i="19" s="1"/>
  <c r="H9" i="19"/>
  <c r="P9" i="19"/>
  <c r="X9" i="19"/>
  <c r="Y9" i="19"/>
  <c r="J9" i="19"/>
  <c r="R12" i="19"/>
  <c r="R13" i="19" s="1"/>
  <c r="U9" i="19"/>
  <c r="N9" i="19"/>
  <c r="N12" i="19"/>
  <c r="N13" i="19" s="1"/>
  <c r="W9" i="19"/>
  <c r="H12" i="19"/>
  <c r="H13" i="19" s="1"/>
  <c r="X12" i="19"/>
  <c r="X13" i="19" s="1"/>
  <c r="I9" i="19"/>
  <c r="Q9" i="19"/>
  <c r="Z9" i="19"/>
  <c r="J12" i="19"/>
  <c r="J13" i="19" s="1"/>
  <c r="K9" i="19"/>
  <c r="G12" i="19"/>
  <c r="G13" i="19" s="1"/>
  <c r="U12" i="19"/>
  <c r="U13" i="19" s="1"/>
  <c r="V9" i="19"/>
  <c r="G9" i="19"/>
  <c r="I13" i="19"/>
  <c r="Q12" i="19"/>
  <c r="Q13" i="19" s="1"/>
  <c r="Y12" i="19"/>
  <c r="Y13" i="19" s="1"/>
  <c r="R9" i="19"/>
  <c r="Z12" i="19"/>
  <c r="Z13" i="19" s="1"/>
  <c r="S9" i="19"/>
  <c r="T12" i="19"/>
  <c r="T13" i="19" s="1"/>
  <c r="M9" i="19"/>
  <c r="K12" i="19"/>
  <c r="K13" i="19" s="1"/>
  <c r="S12" i="19"/>
  <c r="S13" i="19" s="1"/>
  <c r="T9" i="19"/>
  <c r="O9" i="19"/>
  <c r="M12" i="19"/>
  <c r="M13" i="19" s="1"/>
  <c r="V12" i="19"/>
  <c r="V13" i="19" s="1"/>
  <c r="K14" i="14" l="1"/>
  <c r="M14" i="14" l="1"/>
  <c r="O11" i="14" l="1"/>
  <c r="P74" i="7"/>
  <c r="O14" i="14" l="1"/>
  <c r="P87" i="35" l="1"/>
  <c r="L74" i="35"/>
  <c r="L55" i="35"/>
  <c r="L58" i="35"/>
  <c r="L57" i="35"/>
  <c r="L56" i="35"/>
  <c r="L54" i="35"/>
  <c r="L59" i="35"/>
  <c r="Z8" i="19"/>
  <c r="Z10" i="19" s="1"/>
  <c r="Z11" i="19" s="1"/>
  <c r="Z14" i="19" s="1"/>
  <c r="K24" i="18" l="1"/>
  <c r="J8" i="19"/>
  <c r="J10" i="19" s="1"/>
  <c r="J11" i="19" s="1"/>
  <c r="J14" i="19" s="1"/>
  <c r="Y8" i="19"/>
  <c r="Y10" i="19" s="1"/>
  <c r="Y11" i="19" s="1"/>
  <c r="Y14" i="19" s="1"/>
  <c r="I8" i="19"/>
  <c r="I10" i="19" s="1"/>
  <c r="I11" i="19" s="1"/>
  <c r="I14" i="19" s="1"/>
  <c r="O19" i="6"/>
  <c r="O24" i="6" s="1"/>
  <c r="T8" i="19"/>
  <c r="T10" i="19" s="1"/>
  <c r="T11" i="19" s="1"/>
  <c r="T14" i="19" s="1"/>
  <c r="K19" i="6"/>
  <c r="K24" i="6" s="1"/>
  <c r="V8" i="19"/>
  <c r="V10" i="19" s="1"/>
  <c r="V11" i="19" s="1"/>
  <c r="V14" i="19" s="1"/>
  <c r="S8" i="19"/>
  <c r="S10" i="19" s="1"/>
  <c r="S11" i="19" s="1"/>
  <c r="S14" i="19" s="1"/>
  <c r="M8" i="19"/>
  <c r="M10" i="19" s="1"/>
  <c r="M11" i="19" s="1"/>
  <c r="M14" i="19" s="1"/>
  <c r="K8" i="19"/>
  <c r="K10" i="19" s="1"/>
  <c r="K11" i="19" s="1"/>
  <c r="K14" i="19" s="1"/>
  <c r="L8" i="19"/>
  <c r="L10" i="19" s="1"/>
  <c r="L11" i="19" s="1"/>
  <c r="L14" i="19" s="1"/>
  <c r="G8" i="19"/>
  <c r="G10" i="19" s="1"/>
  <c r="G11" i="19" s="1"/>
  <c r="G14" i="19" s="1"/>
  <c r="U8" i="19"/>
  <c r="U10" i="19" s="1"/>
  <c r="U11" i="19" s="1"/>
  <c r="U14" i="19" s="1"/>
  <c r="O8" i="19"/>
  <c r="O10" i="19" s="1"/>
  <c r="O11" i="19" s="1"/>
  <c r="O14" i="19" s="1"/>
  <c r="X8" i="19"/>
  <c r="X10" i="19" s="1"/>
  <c r="X11" i="19" s="1"/>
  <c r="X14" i="19" s="1"/>
  <c r="H8" i="19"/>
  <c r="H10" i="19" s="1"/>
  <c r="H11" i="19" s="1"/>
  <c r="H14" i="19" s="1"/>
  <c r="W8" i="19"/>
  <c r="W10" i="19" s="1"/>
  <c r="W11" i="19" s="1"/>
  <c r="W14" i="19" s="1"/>
  <c r="Q8" i="19"/>
  <c r="Q10" i="19" s="1"/>
  <c r="Q11" i="19" s="1"/>
  <c r="Q14" i="19" s="1"/>
  <c r="R8" i="19"/>
  <c r="R10" i="19" s="1"/>
  <c r="R11" i="19" s="1"/>
  <c r="R14" i="19" s="1"/>
  <c r="F8" i="19"/>
  <c r="F10" i="19" s="1"/>
  <c r="F11" i="19" s="1"/>
  <c r="F14" i="19" s="1"/>
  <c r="P8" i="19"/>
  <c r="P10" i="19" s="1"/>
  <c r="P11" i="19" s="1"/>
  <c r="P14" i="19" s="1"/>
  <c r="N8" i="19"/>
  <c r="N10" i="19" s="1"/>
  <c r="N11" i="19" s="1"/>
  <c r="N14" i="19" s="1"/>
  <c r="T15" i="18" l="1"/>
  <c r="AB5" i="19" s="1"/>
  <c r="O30" i="6"/>
  <c r="O38" i="6" s="1"/>
  <c r="K30" i="6"/>
  <c r="K38" i="6" s="1"/>
  <c r="G5" i="18" l="1"/>
  <c r="D41" i="6"/>
  <c r="L10" i="7"/>
  <c r="L10" i="36"/>
  <c r="D47" i="6"/>
  <c r="AB7" i="19"/>
  <c r="AB9" i="19" s="1"/>
  <c r="AB6" i="19"/>
  <c r="AB12" i="19" l="1"/>
  <c r="AB8" i="19"/>
  <c r="AB10" i="19" s="1"/>
  <c r="AB11" i="19" s="1"/>
  <c r="L56" i="7"/>
  <c r="L74" i="7"/>
  <c r="L58" i="7"/>
  <c r="L54" i="7"/>
  <c r="L55" i="7"/>
  <c r="L57" i="7"/>
  <c r="P87" i="7"/>
  <c r="L59" i="7"/>
  <c r="L56" i="36"/>
  <c r="L59" i="36"/>
  <c r="L57" i="36"/>
  <c r="L74" i="36"/>
  <c r="P87" i="36"/>
  <c r="L54" i="36"/>
  <c r="L58" i="36"/>
  <c r="L55" i="36"/>
  <c r="T16" i="18" l="1"/>
  <c r="T18" i="18"/>
  <c r="AB13" i="19"/>
  <c r="AB14" i="19" s="1"/>
</calcChain>
</file>

<file path=xl/sharedStrings.xml><?xml version="1.0" encoding="utf-8"?>
<sst xmlns="http://schemas.openxmlformats.org/spreadsheetml/2006/main" count="1333" uniqueCount="624">
  <si>
    <t>Introduction Tab</t>
  </si>
  <si>
    <t>Somerset Levels and Moors Phosphorus Budget Calculator V3</t>
  </si>
  <si>
    <t>Introduction</t>
  </si>
  <si>
    <t>Following the Dutch Nitrogen Case which ruled that where a site is failing to achieve condition due to pollution, the potential for a new development to add to the nutrient load is "necessarily limited". Special Areas of Conservation (SAC) sites are internationally important areas defined by the National Planning Policy Framework (NPPF) and given special protection under the European Union's Habitats Directive, which was transposed into UK law by the Habitats and Conservation of Species Regulations 2010. This was updated by the Conservation of Habitats and Species (Amendment)(EU Exit) Regulations 2019. As such, Natural England's view is that any development proposal that adds nutrients into the catchment of internationally important sites, such as the Somerset Levels and Moors, is likely to have a significant effect. Proposed developments likely to affect European Sites should be subject to Habitats Regulations Assessment to assess the Likely Significant Affect on the SAC. Applications within the catchment that will have a Likely Effect and will require an Appropriate Assessment (i.e. the nutrient calculator) to assess the implications of the proposal on the designated sites.</t>
  </si>
  <si>
    <t xml:space="preserve">This tool is designed to quantify the nutrient loading of an area of land subject to a change of land use and population, in order to identify is proposed developments will be 'nutrient neutral'. Where the proposed development will generate additional nutrients into the system, solutions in how to offset the excess nutrients and achieve neutrality are presented.  </t>
  </si>
  <si>
    <t>This tool is only necessary for proposed developments that have the potential to increase nutrient loading to rivers that flow into the Somerset Levels and Moors. Where a site  drains to a Water Recycling Centre (WRC) outside of the catchment then no likely significant effects can be determined. However, SuDS should still be considered.</t>
  </si>
  <si>
    <t xml:space="preserve">When using the findings of this tool for a nutrient neutrality assessment, users should either print the pages as a pdf or screenshot each page, and present this as evidence of the nutrient budget calculations. </t>
  </si>
  <si>
    <t>The methodology employed within this tool was, in part, guided by Natural England's advice on nutrient neutrality in relation to the Stodmarsh designated sites (published in November 2020) and the Natural England provided calculator (published March 2022).</t>
  </si>
  <si>
    <t>This tool consists of eight main worksheets:
Stage 1 - Identifies the additional nutrients as a result of changes in the population.  Most 6-bed HMOs don't need planning permission, so the national average house occupancy rate is used.
Stage 2 - Calculates the nutrient load from current land use
Stage 3 - Calculates the nutrient load from future land uses
Stage 4 - Calculates the total change in nutrient loading as a result of the proposed development
Mitigation - current -Offers guidance on potential solutions to achieve nutrient neutrality under current wastewater permit limits
Mitigation - post 2025 - Offers guidance on potential solutions to achieve nutrient neutrality under AMP7 wastewater permit limits
Mitigation - post 2030 - Offers guidance on potential solutions to achieve nutrient neutrality under AMP8 wastewater permit limits
Mitigation land use comparison - Calculates the difference in mitigation solutions between current wastewater permit limits and post-2030 permit limits</t>
  </si>
  <si>
    <t>This nutrient budget calculator is designed to allow the user to:
- Calculate the nutrient budget for a proposed development, and if, in its current form, the proposed development is nutrient neutral; and
- Assess the various mitigation options if the proposed development is not nutrient neutral.</t>
  </si>
  <si>
    <t>The tool has been designed so that the user is able to update the data and methods in light of any new research or understanding</t>
  </si>
  <si>
    <t xml:space="preserve">The information supplied in this tool is for guidance purposes only and is not intended to provide an exact budget calculation due to the limitations and assumptions of the model. The user is responsible for ensuring the accuracy and completeness of all data entered, be it manually or automatically, and used by this tool. The user is also responsible for any commercial decisions taken on any of the outputs of this tool.  </t>
  </si>
  <si>
    <t>Royal HaskoningDHV will not be liable for any of the following arising from the use of this tool (including from any negligence on the part of Royal HaskoningDHV):
(i) loss of anticipated profits or expected future business;
(ii) damage to reputation or goodwill;
(iii) damages, costs or expenses payable by the user to any third party;
(iv) loss of any order or contract; or
(v) indirect or consequential loss of any kind.</t>
  </si>
  <si>
    <t>This nutrient budget calculator has been developed by Royal HaskoningDHV on behalf of Somerset Council.</t>
  </si>
  <si>
    <t>Phosphorus budget calculator, v2.1 (Released September 2024)</t>
  </si>
  <si>
    <t>General help</t>
  </si>
  <si>
    <t xml:space="preserve">The Tool uses the following colour coding to indicate the functionality to the user. These colours are: </t>
  </si>
  <si>
    <t>The user needs to input a value here</t>
  </si>
  <si>
    <t>This contains fixed or calculated values and the user does not need to input a value</t>
  </si>
  <si>
    <t>Stage 1</t>
  </si>
  <si>
    <r>
      <t xml:space="preserve">This stage calculates the change in nutrient loading as a result of changes in the population of a site.
Step 1: The user should input the additional number of units that are proposed by the development. This is then multiplied by the occupancy rate per dwelling.
Step 2: This automatically calculates the wastewater volume for the development. </t>
    </r>
    <r>
      <rPr>
        <u/>
        <sz val="12"/>
        <rFont val="Calibri"/>
        <family val="2"/>
      </rPr>
      <t>British flows and loads</t>
    </r>
    <r>
      <rPr>
        <sz val="12"/>
        <rFont val="Calibri"/>
        <family val="2"/>
      </rPr>
      <t xml:space="preserve"> can be used for calculating bespoke wastewater volumes.
Step 3: The user has the option to select whether sewage from the proposed development will be handled by water recycling centres or by Onsite treatment plants. The user must select one or the other, both options cannot be used. 
Step 3a: If the proposed development is to use WRC, then the user should select 'Yes' from the drop down box. Following this, the user should select the WRC that the development will connect to. This will select the discharge concentration from the chosen WRC.
Step 3b: If the proposed development is to use Onsite treatment plants, then the user should select 'Yes' from the drop down box. Following this, the user should input the final effluent quality of the onsite treatment plant. If the efficiency is unknown then the user should input a precautionary default values. Higher removal rates can be achieved through Package Treatment Plants (PTPs) but these will typically require additional phosphate reduction such as chemical dosing that standard PTPs may not include.   
Step 4: This automatically calculates the Total Phosphorus (TP) and Total Nitrogen (TN) loading from wastewater</t>
    </r>
  </si>
  <si>
    <t>Stage 2</t>
  </si>
  <si>
    <r>
      <t>This stage calculates the nutrient load from the current land use.
Step 1: The user should select the appropriate catchment, drainage type, rainfall band and NVZ.
Step 2: The user should input the area (hectares) of the current land uses that make up the total area of the development site. A GIS viewer can be used to identify the land uses on a coarse scale (</t>
    </r>
    <r>
      <rPr>
        <b/>
        <sz val="12"/>
        <color theme="1"/>
        <rFont val="Calibri"/>
        <family val="2"/>
        <scheme val="minor"/>
      </rPr>
      <t>https://gridreferencefinder.com/</t>
    </r>
    <r>
      <rPr>
        <sz val="12"/>
        <color theme="1"/>
        <rFont val="Calibri"/>
        <family val="2"/>
        <scheme val="minor"/>
      </rPr>
      <t xml:space="preserve">). However, if more detail is known about the site land uses then this should be manually inputted by the user. The % removal from any existing SuDS can be inputted. Where the existing land use falls in the 'low density residential urban' category, a standard removal of 85% should be applied. </t>
    </r>
  </si>
  <si>
    <t>Stage 3</t>
  </si>
  <si>
    <t>This stage calculates the nutrient load from the future land use.
Step 1: The user should input the proposed land uses that make up the total area of the development site. Any pre-determined on-site mitigation should also be inputted here.
Bespoke banking coefficients should be inputted for constructed wetland that can be evidenced</t>
  </si>
  <si>
    <t>Stage 4</t>
  </si>
  <si>
    <t xml:space="preserve">This stage provides a summary of the nutrient loads calculated in stages 1-3 and presents the nutrient budget for the proposed development.
A 20% precautionary buffer is included to account for uncertainties in the runoff coefficients used.
</t>
  </si>
  <si>
    <t>Mitigation - Current</t>
  </si>
  <si>
    <t>This stage calculates the area and land uses of the mitigation site required for the proposed development to be nutrient neutral, under current WRC permit limits.
Step 1: The nutrient budget to be mitigated will be automatically shown
Step 2: The user should either select 'Yes' for on-site mitigation (step 2a) or 'Yes' off-site mitigation (step 2b). For on-site mitigation, the user should select the land use which the mitigation land will be replacing. Where the exact land use type is unknown, an average value can be used.  For off-site mitigation, the catchment, soil drainage type, rainfall band and NVZ should be selected for the mitigation land and the most appropriate land use(s) selected.
Step 3: This will automatically show the area required for mitigation to achieve neutrality for each land use type.
Step 4: The user has the option to select the amount of nutrient load to be offset by the various land uses, which will then calculate the relevant area of land (Hectares) that needs to be changed.
Step 5: The user has the option to input the required area of land (hectares) to be mitigated until the project is nutrient neutral, which will then calculate the equivalent nutrient load for each land use.
The banking coefficients for wetlands uses a value for guidance purposes only. A site bespoke site-specific value will need to be calculated.</t>
  </si>
  <si>
    <t>Mitigation - Post 2025</t>
  </si>
  <si>
    <t>This stage calculates the area and land uses of the mitigation site required for the proposed development to be nutrient neutral, under post-2025 WRC permit limits. This only applies to TP. The steps are the same as 'Mitigation - current'.</t>
  </si>
  <si>
    <t>Mitigation - post 2030</t>
  </si>
  <si>
    <t>This stage calculates the area and land uses of the mitigation site required for the proposed development to be nutrient neutral, under post-2025 WRC permit limits. This stage is for guidance purposes only. The steps are the same as 'Mitigation - current'.</t>
  </si>
  <si>
    <t>Mitigation comparison</t>
  </si>
  <si>
    <t>This stage provides a summary in the differences in mitigation land use area between the current WRC permit limits and the post-2030 WRC permit limits.</t>
  </si>
  <si>
    <t>Land Use Definitions</t>
  </si>
  <si>
    <t>The land uses presented in this tool followed the CORINE 2018 land use data. Definitions of key land uses are presented below:</t>
  </si>
  <si>
    <t>Land Use</t>
  </si>
  <si>
    <t>Description</t>
  </si>
  <si>
    <t>Residential urban</t>
  </si>
  <si>
    <t>Areas of houses and associated infrastructure. This is inclusive of roads, driveways, grass verges, gardens and SuDS features.</t>
  </si>
  <si>
    <t>Low Density Residential Urban (LDRU)</t>
  </si>
  <si>
    <t>Low density residential urban' land is classified as having less than 25 units per hectare and less than 50% hardstanding (this includes all built form, buildings, roads, SuDS features etc). Both of these criteria need to be evidenced, to include:
1)	Dwellings per hectare = No. of dwellings/’Residential Urban’ land use area (ha)
2)	% of hard standing = (Hard standing (ha) / site extent) x 100  
Where the 'low density residential urban' category is selected, for example on small-scale greenfield sites, a standard SuDS removal of 85% is automatically applied. For this category, the CIRIA SuDS guidance for calculating run-off should not be used in combination.</t>
  </si>
  <si>
    <t>Commercial / industrial</t>
  </si>
  <si>
    <t>Land used for commercial establishments (the primary purpose of buying, selling or trading of merchandise or services including, without limitation, shopping malls, office complexes, restaurants, hotels, motels, grocery stores, automobile service stations, petroleum distribution operations, dry cleaning operations, municipal yards, warehouses, law courts, museums, churches, golf courses, government offices, air and sea terminals, bus and railway stations, and storage associated with these uses) , manufacturing plants, public utilities, mining, distribution of goods or services, administration of business activities, research and development facilities, warehousing, shipping, transporting, remanufacturing, stockpiling of raw materials, storage, repair and maintenance of commercial machinery or equipment, and waste management.</t>
  </si>
  <si>
    <t>Urban open space</t>
  </si>
  <si>
    <t>Area of land in urban areas used for various purposes, e.g. leisure and recreation - may include open land, e.g. sports fields, playgrounds, public squares or built facilities such as sports centres.</t>
  </si>
  <si>
    <t>Allotment and City farms</t>
  </si>
  <si>
    <t xml:space="preserve">Wholly or mainly cultivated for the production of vegetable or fruit crops for consumption by the tenant or local community. In some cases the land will also be used for ornamental plants and the keeping of hens or bees.  </t>
  </si>
  <si>
    <t>Dairy</t>
  </si>
  <si>
    <t xml:space="preserve">Holdings on which dairy cows account for more than two thirds of their total standard output.  </t>
  </si>
  <si>
    <t>Cereals</t>
  </si>
  <si>
    <t>Agricultural areas on which cereals, combinable crops and set aside are farmed.</t>
  </si>
  <si>
    <t>Horticulture</t>
  </si>
  <si>
    <t>Holdings on which fruit (including vineyards), hardy nursery stock, glasshouse flowers and vegetables, market garden scale vegetables, outdoor blubs and flowers and mushrooms account for more than two thirds of their total standard output.</t>
  </si>
  <si>
    <t>Pig Farming</t>
  </si>
  <si>
    <t xml:space="preserve">Holdings on which pigs account for more than two thirds of their total standard output. </t>
  </si>
  <si>
    <t>LFA</t>
  </si>
  <si>
    <t>Holdings on which cattle, sheep and other grazing livestock account for more than two thirds of their total standard output except holdings classified as diary. A holding is classified as LFA if more than 50% of its total area is in the Less Favoured Area (LFA).</t>
  </si>
  <si>
    <t>Lowland grazing</t>
  </si>
  <si>
    <t>Holdings on which cattle, sheep and other grazing livestock account for more than two thirds of their total standard output except holdings classified as diary. A holding is classified as lowland if less than 50% of its total area is in the Less Favoured Area (LFA). A paddock is classified as a small enclosures used for grazing horses.</t>
  </si>
  <si>
    <t>Mixed Agriculture</t>
  </si>
  <si>
    <t>Holdings for which none of the other agricultural categories account for more than two thirds of total standard output.</t>
  </si>
  <si>
    <t>Poultry farming</t>
  </si>
  <si>
    <t xml:space="preserve">Holdings on which poultry account for more than two thirds of their total standard output. </t>
  </si>
  <si>
    <t>General Arable</t>
  </si>
  <si>
    <t>Agricultural areas on which arable crops (including field scale vegetables) are farmed.</t>
  </si>
  <si>
    <t>Greenspace</t>
  </si>
  <si>
    <t>Natural and semi-natural outdoor spaces provided for recreational use where fertilisers will not be applied and dog waste is managed, e.g. semi-natural parks. This does not include green infrastructure within the built urban environment as this is included in the urban categories.</t>
  </si>
  <si>
    <t>Woodland</t>
  </si>
  <si>
    <t>Tree-covered areas which either arose naturally or as a result of plantations. This includes conifer woodland, mixed woodlands and broad-leaved woodlands etc.</t>
  </si>
  <si>
    <t>shrub / heathland / bracken / bog</t>
  </si>
  <si>
    <t>Land that contains extensive areas of either shrubs, heath or bracken. A bog refers to land that is a wetland area of muddy ground that can accumulate peat.</t>
  </si>
  <si>
    <t>Water</t>
  </si>
  <si>
    <t>Areas of surface water, including rivers, ponds and lakes.</t>
  </si>
  <si>
    <t>Meadow / semi natural grassland</t>
  </si>
  <si>
    <t>A meadow is a field habitat vegetated by grass and other non-woody plant that has an open character and is not grazed by livestock</t>
  </si>
  <si>
    <t>Wetland</t>
  </si>
  <si>
    <t>Land use specific to constructed wetland only and does not include ponds or SuDS.</t>
  </si>
  <si>
    <t>WRCs</t>
  </si>
  <si>
    <r>
      <t xml:space="preserve">WRCs with a phosphorus permit are assumed to discharge at 90% of the permit. Measured data was used to derive the posphorus dicharge for unpermitted WRCs.  2025 and 2030 permit limits are incorporated into the calculator. Note that Broadway WRC &amp; Ilminster were upgraded by December 2023, prior to 2025 deadline. 
Please note that the calculator has adopted the </t>
    </r>
    <r>
      <rPr>
        <b/>
        <sz val="12"/>
        <color rgb="FF000000"/>
        <rFont val="Calibri"/>
        <family val="2"/>
        <scheme val="minor"/>
      </rPr>
      <t>stretch targets</t>
    </r>
    <r>
      <rPr>
        <sz val="12"/>
        <color rgb="FF000000"/>
        <rFont val="Calibri"/>
        <family val="2"/>
        <scheme val="minor"/>
      </rPr>
      <t xml:space="preserve"> agreed for the WRCs in the catchment, as published by Wessex Water.</t>
    </r>
  </si>
  <si>
    <t>Soil Drainage Criteria</t>
  </si>
  <si>
    <t>The drainage characteristics of soil has a control over the dominant flow pathways for pollutant losses and as such controls the loading of Phosphorus into surface water bodies. Therefore the runoff coefficients from various land uses are different in freely draining soil compared to impermeable soil. For impermeable soil under Arable land use, it is assumed that man made drainage systems would be in place, whereas rough grazing and woodland areas would not be drained. For free-draining soil, the majority of the flow would be to groundwater, and it is assumed that drainage would not be required.</t>
  </si>
  <si>
    <t>a) The user should use the Soilscapes tool (Cranfield soil and Agrifood institute, 2020) to determine the dominant soil type on their site. Soilscapes can be found at http://www.landis.org.uk/soilscapes/index.cfm</t>
  </si>
  <si>
    <t>b) Zoom into the development site on the map</t>
  </si>
  <si>
    <t>c) Once the area has been located, click on the map where the development is located to find out the ID number and name of the soil type.</t>
  </si>
  <si>
    <t>d) Make note of this and determine the drainage type using the below table</t>
  </si>
  <si>
    <t>The following table is used to identify the dominant drainage type of the proposed development from the soil type identified above. The drainage type should then inform Stage 2 of the calculator</t>
  </si>
  <si>
    <t>Free draining</t>
  </si>
  <si>
    <t>Impermeable - drained for arable</t>
  </si>
  <si>
    <t>Impermeable - drained for arable &amp; grassland</t>
  </si>
  <si>
    <t>Colour</t>
  </si>
  <si>
    <t>ID</t>
  </si>
  <si>
    <t>Name</t>
  </si>
  <si>
    <t>colour</t>
  </si>
  <si>
    <t xml:space="preserve">	Shallow lime-rich soils over chalk or limestone</t>
  </si>
  <si>
    <t>Saltmarsh soils</t>
  </si>
  <si>
    <t>Slowly permeable seasonally wet acid loamy and clayey soils</t>
  </si>
  <si>
    <t>Sand dune soils</t>
  </si>
  <si>
    <t>Shallow very acid peaty soils over rock</t>
  </si>
  <si>
    <t>Slowly permeable seasonally wet slightly acid but base-rich loamy and clayey soils</t>
  </si>
  <si>
    <t xml:space="preserve">	Freely draining lime-rich loamy soils</t>
  </si>
  <si>
    <t>Slightly acid loamy and clayey soils with impeded drainage</t>
  </si>
  <si>
    <t>Slowly permeable wet very acid upland soils with a peaty surface</t>
  </si>
  <si>
    <t>Freely draining slightly acid loamy soils</t>
  </si>
  <si>
    <t>Lime-rich loamy and clayey soils with impeded drainage</t>
  </si>
  <si>
    <t>Freely draining slightly acid but base-rich soils</t>
  </si>
  <si>
    <t>Naturally wet very acid sandy and loamy soils</t>
  </si>
  <si>
    <t>Freely draining slightly acid sandy soils</t>
  </si>
  <si>
    <t xml:space="preserve">	Very acid loamy upland soils with a wet peaty surface</t>
  </si>
  <si>
    <t xml:space="preserve">	Freely draining sandy Breckland soils</t>
  </si>
  <si>
    <t>Loamy and clayey floodplain soils with naturally high groundwater</t>
  </si>
  <si>
    <t>Freely draining floodplain soils</t>
  </si>
  <si>
    <t>Loamy and clayey soils of coastal flats with naturally high groundwater</t>
  </si>
  <si>
    <t>Freely draining acid loamy soils over rock</t>
  </si>
  <si>
    <t>Loamy soils with naturally high groundwater</t>
  </si>
  <si>
    <t>Freely draining very acid sandy and loamy soils</t>
  </si>
  <si>
    <t>Loamy and sandy soils with naturally high groundwater and a peaty surface</t>
  </si>
  <si>
    <t xml:space="preserve">	Restored soils mostly from quarry and opencast spoil</t>
  </si>
  <si>
    <t>Blanket bog peat soils</t>
  </si>
  <si>
    <t>Raised bog peat soils</t>
  </si>
  <si>
    <t xml:space="preserve">	Fen peat soils</t>
  </si>
  <si>
    <t>Finding the operational catchment</t>
  </si>
  <si>
    <t>a) Go to this link:  https://environment.data.gov.uk/catchment-planning/ManagementCatchment/3008</t>
  </si>
  <si>
    <t>b) This will give a high-level view of operational catchments Use the zoom feature to find the exact location of the development.</t>
  </si>
  <si>
    <t>c) Click on the light blue area on the map in which the development is located. This will inform the user of the operational catchment name</t>
  </si>
  <si>
    <t>d) Make note of the name of the Operational Catchment and select it from the dropdown list in the relevant cell.</t>
  </si>
  <si>
    <t>Finding out whether the development is in a Nitrate Vulnerable Zone (NVZ):</t>
  </si>
  <si>
    <t>a) Go to this link: https://mapapps2.bgs.ac.uk/ukso/home.html?layers=NVZEng</t>
  </si>
  <si>
    <t>b) Enter the location of the development site in the search bar.</t>
  </si>
  <si>
    <t>c) Once the area has been located, click on the map where the development is located to find out if is within an NVZ.</t>
  </si>
  <si>
    <t xml:space="preserve">d) Make note of this and select this in the dropdown list. </t>
  </si>
  <si>
    <r>
      <t>HaskoningDHV UK Ltd., a company of</t>
    </r>
    <r>
      <rPr>
        <b/>
        <sz val="12"/>
        <color rgb="FF000000"/>
        <rFont val="Calibri"/>
        <family val="2"/>
        <scheme val="minor"/>
      </rPr>
      <t xml:space="preserve"> </t>
    </r>
    <r>
      <rPr>
        <sz val="12"/>
        <color rgb="FF000000"/>
        <rFont val="Calibri"/>
        <family val="2"/>
        <scheme val="minor"/>
      </rPr>
      <t>Royal HaskoningDHV
1 Emperor Way, Exeter Business Park
Exeter, Devon, EX1 3QS
Registered in England 1336844
W: www.royalhaskoningdhv.com</t>
    </r>
  </si>
  <si>
    <t>Information tab</t>
  </si>
  <si>
    <t>Planning Application Reference No.</t>
  </si>
  <si>
    <t>Site address:</t>
  </si>
  <si>
    <t>Site proposal:</t>
  </si>
  <si>
    <t xml:space="preserve"> </t>
  </si>
  <si>
    <t xml:space="preserve">Date: </t>
  </si>
  <si>
    <t>Additional information:</t>
  </si>
  <si>
    <r>
      <rPr>
        <b/>
        <sz val="12"/>
        <color rgb="FF000000"/>
        <rFont val="Calibri"/>
        <family val="2"/>
        <scheme val="minor"/>
      </rPr>
      <t>Stage 1</t>
    </r>
    <r>
      <rPr>
        <sz val="12"/>
        <color rgb="FF000000"/>
        <rFont val="Calibri"/>
        <family val="2"/>
        <scheme val="minor"/>
      </rPr>
      <t xml:space="preserve"> </t>
    </r>
  </si>
  <si>
    <t>Calculate nutrient load (Kg/year) derived from the development as a result of increased population</t>
  </si>
  <si>
    <r>
      <t xml:space="preserve">Note: This calculation should only include the </t>
    </r>
    <r>
      <rPr>
        <b/>
        <i/>
        <sz val="12"/>
        <color rgb="FF000000"/>
        <rFont val="Calibri"/>
        <family val="2"/>
        <scheme val="minor"/>
      </rPr>
      <t>additional</t>
    </r>
    <r>
      <rPr>
        <i/>
        <sz val="12"/>
        <color rgb="FF000000"/>
        <rFont val="Calibri"/>
        <family val="2"/>
        <scheme val="minor"/>
      </rPr>
      <t xml:space="preserve"> units resulting from the proposed development, including any development that will result in overnight accommodation. For land not currently in residential use, this will be the total units proposed by the development. However, for land already in residential use, this should only be the increase in units.
The user should input the relevant number of dwellings into options a, b or c below. In the case of residential developments, only option a is required. </t>
    </r>
  </si>
  <si>
    <t>1.</t>
  </si>
  <si>
    <t>Calculate the additional population</t>
  </si>
  <si>
    <t>Value</t>
  </si>
  <si>
    <t>Unit</t>
  </si>
  <si>
    <t>a</t>
  </si>
  <si>
    <t>Number of dwellings proposed</t>
  </si>
  <si>
    <t>dwellings</t>
  </si>
  <si>
    <t>Average occupancy</t>
  </si>
  <si>
    <t>persons/dwelling</t>
  </si>
  <si>
    <t>b</t>
  </si>
  <si>
    <r>
      <t xml:space="preserve">Number of </t>
    </r>
    <r>
      <rPr>
        <b/>
        <sz val="12"/>
        <color rgb="FF000000"/>
        <rFont val="Calibri"/>
        <family val="2"/>
        <scheme val="minor"/>
      </rPr>
      <t>additional</t>
    </r>
    <r>
      <rPr>
        <sz val="12"/>
        <color rgb="FF000000"/>
        <rFont val="Calibri"/>
        <family val="2"/>
        <scheme val="minor"/>
      </rPr>
      <t xml:space="preserve"> rooms above 6 residents (sui generis) for houses in multiple occupation</t>
    </r>
  </si>
  <si>
    <t>rooms</t>
  </si>
  <si>
    <t>person/room</t>
  </si>
  <si>
    <t>c</t>
  </si>
  <si>
    <t>Number of rooms in a hotel or guest house proposed</t>
  </si>
  <si>
    <t>persons/rooms</t>
  </si>
  <si>
    <t>Number of weeks open per year (1-52)</t>
  </si>
  <si>
    <t>Weeks</t>
  </si>
  <si>
    <t>Average occupancy rate (1-100)</t>
  </si>
  <si>
    <t>%</t>
  </si>
  <si>
    <t>d</t>
  </si>
  <si>
    <t xml:space="preserve">Number of holiday dwellings proposed   </t>
  </si>
  <si>
    <t>Total population increase generated by the development</t>
  </si>
  <si>
    <t>Persons</t>
  </si>
  <si>
    <t>2.</t>
  </si>
  <si>
    <t>Wastewater volume generated</t>
  </si>
  <si>
    <t>Water use per person</t>
  </si>
  <si>
    <t>Litres/person/day</t>
  </si>
  <si>
    <t>Wastewater volume generated by the development</t>
  </si>
  <si>
    <t>Litres/day</t>
  </si>
  <si>
    <t>Please select how the sewage from the proposed development will be handled, noting that a development must be handled by either a water recycling centre or onsite treatment plants, and cannot be handled by both. Consideration of wastewater loading is not required where a site drains to a WRC that does not drain in to the Somerset Levels and Moors catchments</t>
  </si>
  <si>
    <t>Is sewage to be handled by water recycling centre?</t>
  </si>
  <si>
    <t>No</t>
  </si>
  <si>
    <t>Is sewage to be handled by Onsite treatment plants?</t>
  </si>
  <si>
    <t>3a.</t>
  </si>
  <si>
    <t>TP budget that would exit the Water Recycling Centre (WRC) after treatment</t>
  </si>
  <si>
    <t>3b.</t>
  </si>
  <si>
    <t>TP budget for Onsite treatment plants</t>
  </si>
  <si>
    <t>Note: If the sewage is to be treated by WRCs then the user should select "Yes" in the list above. If package treatment plants are to be used instead, then the user should select "No" above. 
This is the process of collecting wastewater from houses and guiding it, via the sewage network, to a WRC (also known as sewage works). The nutrient concentration of the influent is calculated by multiplying the number of people by the expected water usage per day. The nutrient concentration within the effluent is calculated by applying the discharge level of the appropriate WRC. The nutrient loading is expressed in kg/year.</t>
  </si>
  <si>
    <t>Note: If the sewage is to be treated by on-site treatment plants then the user should select "Yes" in the list above. If wastewater treatment works are to be used instead, then the user should select "No" above. 
On-site treatment plants are pre-manufactured treatment facilities used to treat wastewater in smaller communities or on individual properties. This concept is defined as decentralized wastewater treatment. The nutrient influent is calculated by multiplying the number of people by the expected loading per person. The nutrient effluent is calculated by applying the reduction efficiency. The nutrient loading is expressed in kg/year.</t>
  </si>
  <si>
    <t>Confirm receiving WRC and discharge level</t>
  </si>
  <si>
    <t>Calculate nutrient load after treatment</t>
  </si>
  <si>
    <t>Select the WRC the development will connect to</t>
  </si>
  <si>
    <t>Alford WRC</t>
  </si>
  <si>
    <t>Select the type of On-site treatment works</t>
  </si>
  <si>
    <t>Default septic tank</t>
  </si>
  <si>
    <t>Current discharge</t>
  </si>
  <si>
    <t>Post 2030 discharge</t>
  </si>
  <si>
    <t>Phosphorus WRC discharge level</t>
  </si>
  <si>
    <t>mg/l</t>
  </si>
  <si>
    <t>Phosphorus discharge level</t>
  </si>
  <si>
    <t xml:space="preserve">Note: Please use the drop down lists to select the WRC that the proposed development will be connected to. If the WRC is not known, then please select 'Unknown' from the drop down list. If there is a permit limit change for the period 2025-2030, the discharge level and nutrient load will appear. The discharge level shown reflects the permit limit with a 10% reduction in accordance with Natural England advice. </t>
  </si>
  <si>
    <t>Note: The user must input the reduction efficiency of the PTP. The efficiency of the PTP used must be evidenced. The evidence should include the test result documents from the lab (in English) and/ or measured effluent concentrations from real world applications. If the efficiency is unknown then a precautionary default value can be used</t>
  </si>
  <si>
    <t>Calculate the nutrient load discharged by the WRC</t>
  </si>
  <si>
    <t>Calculate loading from wastewater with onsite treatment plants</t>
  </si>
  <si>
    <t>TP discharged by WRC</t>
  </si>
  <si>
    <t>kg/year</t>
  </si>
  <si>
    <t>TP discharged by on-site treatment plant</t>
  </si>
  <si>
    <t>4.</t>
  </si>
  <si>
    <t>Additional population load</t>
  </si>
  <si>
    <t>Current</t>
  </si>
  <si>
    <t>Post 2030</t>
  </si>
  <si>
    <t>TP load from additional population</t>
  </si>
  <si>
    <t>Kg/year</t>
  </si>
  <si>
    <t>Calculate existing (pre-development) nutrient load from current land use of the development</t>
  </si>
  <si>
    <t>Note: Where development sites include existing areas that are to be retained, these areas can be excluded from the calculations in both Stages 2 and 3.</t>
  </si>
  <si>
    <t>Identify current land uses of the development site</t>
  </si>
  <si>
    <t>The user should select the value from the following drop-down list that applies to the development. Use the links below or navigate to the 'Introduction' tab to find instructions on how this information can be acquired.</t>
  </si>
  <si>
    <t>Select the Catchment</t>
  </si>
  <si>
    <t>Tone</t>
  </si>
  <si>
    <t>Select the soil drainage type</t>
  </si>
  <si>
    <t>Freely draining</t>
  </si>
  <si>
    <t>Select annual average rainfall band</t>
  </si>
  <si>
    <t>1000-1100</t>
  </si>
  <si>
    <t>mm/yr</t>
  </si>
  <si>
    <t>Within Nitrate Vulnerable Zone (NVZ)</t>
  </si>
  <si>
    <t>Note: Use the links in the 'Introduction' Tab to find the soil type, catchment and NVZ map. The rainfall can be found in the 'Rainfall' tab.</t>
  </si>
  <si>
    <t>Input the area of the existing land use type(s)</t>
  </si>
  <si>
    <t>TP loading</t>
  </si>
  <si>
    <t>Hectares</t>
  </si>
  <si>
    <t>Kg/yr</t>
  </si>
  <si>
    <t>LDRU</t>
  </si>
  <si>
    <t>Commercial / Industrial</t>
  </si>
  <si>
    <t>Mixed agriculture</t>
  </si>
  <si>
    <t>Poultry</t>
  </si>
  <si>
    <t>Pigs</t>
  </si>
  <si>
    <t>General arable</t>
  </si>
  <si>
    <t>Allotments and city farms</t>
  </si>
  <si>
    <t>Woodland (e.g. broad-leaved, orchard)</t>
  </si>
  <si>
    <t>Greenspace / semi-natural grassland</t>
  </si>
  <si>
    <t>Shrub / heathland / bracken / bog</t>
  </si>
  <si>
    <t>Sum total</t>
  </si>
  <si>
    <t>SuDS removal</t>
  </si>
  <si>
    <t xml:space="preserve">Please input the total TP removal amount (%) calculated for the existing SuDS on site (if present). The calculated value should be justifiable with supporting evidence. 
Where LDRU is selected, a standard SuDS removal of 85% is automatically applied and the CIRIA SuDS guidance for calculating run-off should not be used in combination.
</t>
  </si>
  <si>
    <t>SuDS removal amount</t>
  </si>
  <si>
    <t>SuDS removal amount (LDRU Override)</t>
  </si>
  <si>
    <t>3.</t>
  </si>
  <si>
    <t>Calculate loading from current land usage</t>
  </si>
  <si>
    <t>TP load from existing land usage</t>
  </si>
  <si>
    <t>Calculate nutrient load for the proposed development</t>
  </si>
  <si>
    <t>Note: This section should include all land uses within the proposed development. Where the proposed scheme is to create new wetlands, woodlands, nature reserves, etc. within the development site area, then this should be included within this section. Any offsite mitigation should not be included below, and should instead be inputted in to the mitigation tabs (if required).</t>
  </si>
  <si>
    <t>Identify proposed land uses of the development site</t>
  </si>
  <si>
    <t>Designed Wetlands</t>
  </si>
  <si>
    <t>Wetland area</t>
  </si>
  <si>
    <t>TP Banking coefficient</t>
  </si>
  <si>
    <t>kg/ha/year</t>
  </si>
  <si>
    <r>
      <rPr>
        <sz val="12"/>
        <rFont val="Calibri"/>
        <family val="2"/>
      </rPr>
      <t>Note: Where wetlands are proposed, please input the banking coefficient (i.e. the phosphorus removal amount in kg/ha/yr) calculated for the designed wetland. The calculated value should be justifiable with supporting evidence. Wetland refers to specific designed wetland and not SuDS. For further information on the designing constructed wetlands and deriving the phosphorus removal rate, please refer to the</t>
    </r>
    <r>
      <rPr>
        <u/>
        <sz val="12"/>
        <rFont val="Calibri"/>
        <family val="2"/>
      </rPr>
      <t xml:space="preserve"> Constructed wetland hub.</t>
    </r>
  </si>
  <si>
    <r>
      <t>The TP removal from SuDS must be entered in the cell below and this will be subtracted from the land use loading calculated from Step 1. The calculated value should be justifiable with supporting evidence. 
The CIRIA report "</t>
    </r>
    <r>
      <rPr>
        <u/>
        <sz val="12"/>
        <rFont val="Calibri"/>
        <family val="2"/>
      </rPr>
      <t>Using SuDS to reduce phosphorus in surface water runoff</t>
    </r>
    <r>
      <rPr>
        <sz val="12"/>
        <rFont val="Calibri"/>
        <family val="2"/>
      </rPr>
      <t xml:space="preserve">" (C808F) provides further information on the removal rates for different SuDS components and instructions for calculating the TP removal amount. The value entered should be the </t>
    </r>
    <r>
      <rPr>
        <b/>
        <sz val="12"/>
        <rFont val="Calibri"/>
        <family val="2"/>
      </rPr>
      <t>total removal percentage</t>
    </r>
    <r>
      <rPr>
        <sz val="12"/>
        <rFont val="Calibri"/>
        <family val="2"/>
      </rPr>
      <t>, accounting for both particulate phosphorus and dissolved phosphorus.
Where LDRU is selected, a standard SuDS removal of 85% is automatically applied and the CIRIA SuDS guidance for calculating run-off should not be used in combination.</t>
    </r>
  </si>
  <si>
    <t xml:space="preserve">Please input the TP removal amount (%) calculated for the SuDS. The calculated value should be justifiable with supporting evidence. </t>
  </si>
  <si>
    <t>Sum total of land uses</t>
  </si>
  <si>
    <t>Note: The sum total of land uses must equal the development site area inputted in Stage 2 - the box will colour red if the areas do not match. For more information, please refer to the land use definitions in the help tab.</t>
  </si>
  <si>
    <t>Calculate loading from proposed land usage</t>
  </si>
  <si>
    <t>TP load from proposed land usage</t>
  </si>
  <si>
    <t>Calculate the net change in nutrient load from the proposed development</t>
  </si>
  <si>
    <t xml:space="preserve">Note: This stage calculates the net change in TP load to the catchment from the proposed development. This is derived by calculating the difference between the load calculated for the proposed development (wastewater, urban area, open space, etc.) and that for the existing land uses. The nutrient budget for the site has been calculated under current and post-2030 permit limits, where applicable. Where applicable, post-2025 WRC permit levels will also appear. </t>
  </si>
  <si>
    <t>Summary</t>
  </si>
  <si>
    <t>No. of dwellings / rooms</t>
  </si>
  <si>
    <t>Identify the load from additional population</t>
  </si>
  <si>
    <t>Current TP discharge concentration</t>
  </si>
  <si>
    <t>TP Loading from additional population</t>
  </si>
  <si>
    <t>Post 2030 TP discharge concentration</t>
  </si>
  <si>
    <t>Calculate net change in nutrient load from land use change</t>
  </si>
  <si>
    <t xml:space="preserve">TP current land use </t>
  </si>
  <si>
    <t>TP load from land use change</t>
  </si>
  <si>
    <t>TP proposed land use</t>
  </si>
  <si>
    <t>Calculate nutrient budget for the development site</t>
  </si>
  <si>
    <t>TP budget for the site</t>
  </si>
  <si>
    <t>Calculate precautionary buffer</t>
  </si>
  <si>
    <t>Buffer amount</t>
  </si>
  <si>
    <t>Precautionary buffer</t>
  </si>
  <si>
    <t>Development will be Phosphorus neutral - no mitigation will be required</t>
  </si>
  <si>
    <t>Note: The figures used throughout this model are based on scientific research, evidence and modelled catchments and represent the best available evidence. However, it is important that a precautionary buffer is used that recognises the uncertainty with these figures and ensures, with reasonable certainty, that there will be no adverse effect on site integrity. As such, a 20% precautionary buffer added to the nutrient budget.</t>
  </si>
  <si>
    <t>Development will generate additional Phosphorus (Mitigation required) - Please progress to 'Mitigation current' tab</t>
  </si>
  <si>
    <t>Development will generate additional Phosphorus (Mitigation required) - Please progress to 'Mitigation - post 2025' tab</t>
  </si>
  <si>
    <t>5.</t>
  </si>
  <si>
    <t>Total nutrient budget for the development site</t>
  </si>
  <si>
    <t>Development will generate additional Phosphorus (Mitigation required) - Please progress to 'Mitigation - post 2030' tab</t>
  </si>
  <si>
    <t>Total Phosphorus budget for the site</t>
  </si>
  <si>
    <t>Current TP loading</t>
  </si>
  <si>
    <t>Post 2030 TP loading</t>
  </si>
  <si>
    <t>Mitigation - current</t>
  </si>
  <si>
    <t>Consider potential mitigation solutions for the proposed development</t>
  </si>
  <si>
    <r>
      <t xml:space="preserve">Note: This section only applies to projects that will generate additional nutrients and as a result need to implement mitigation measures, in order to achieve nutrient neutrality under the </t>
    </r>
    <r>
      <rPr>
        <b/>
        <i/>
        <sz val="12"/>
        <color rgb="FF000000"/>
        <rFont val="Calibri"/>
        <family val="2"/>
        <scheme val="minor"/>
      </rPr>
      <t>current WRC permit limits</t>
    </r>
    <r>
      <rPr>
        <i/>
        <sz val="12"/>
        <color rgb="FF000000"/>
        <rFont val="Calibri"/>
        <family val="2"/>
        <scheme val="minor"/>
      </rPr>
      <t xml:space="preserve">. This tab is for </t>
    </r>
    <r>
      <rPr>
        <b/>
        <i/>
        <sz val="12"/>
        <color rgb="FF000000"/>
        <rFont val="Calibri"/>
        <family val="2"/>
        <scheme val="minor"/>
      </rPr>
      <t xml:space="preserve">guidance purposes only to provide an indication of the likely mitigation areas required for some (but not all) mitigation solutions. </t>
    </r>
  </si>
  <si>
    <t>Nutrient budget to be mitigated</t>
  </si>
  <si>
    <t>TP budget to be mitigated</t>
  </si>
  <si>
    <t>Identify current land use of mitigation area</t>
  </si>
  <si>
    <t>2a.</t>
  </si>
  <si>
    <t>On-site mitigation</t>
  </si>
  <si>
    <t>2b.</t>
  </si>
  <si>
    <t>Off-site mitigation</t>
  </si>
  <si>
    <t>Note: If the mitigation is to be implemented on-site then the user should select "Yes" in the list above. If off-site mitigation is to be implemented instead, then the user should select "No" above. The user then has the option (by slecting 'Yes') to either select the average land use on-site or the specific land use if there is more than one land use present.</t>
  </si>
  <si>
    <t>Note: If the mitigation is to be implemented off-site then the user should select "Yes" in the list above. If on-site mitigation is to be implemented instead, then the user should select "No" above.</t>
  </si>
  <si>
    <t>Identify current land use of off-site mitigation area</t>
  </si>
  <si>
    <t>Identify current land use on-site mitigation area</t>
  </si>
  <si>
    <t>Average land use of the on-site mitigation area</t>
  </si>
  <si>
    <t>Kg/ha/year</t>
  </si>
  <si>
    <t>650-675</t>
  </si>
  <si>
    <t>Yes</t>
  </si>
  <si>
    <t>Specific land use of on-site mitigation area</t>
  </si>
  <si>
    <t>Specific land use of off-site mitigation area</t>
  </si>
  <si>
    <t>SuDS removal (%)</t>
  </si>
  <si>
    <t>On-site mitigation land runoff coefficient</t>
  </si>
  <si>
    <t>Off-site mitigation land runoff coefficient</t>
  </si>
  <si>
    <t>mitigation land runoff coefficient</t>
  </si>
  <si>
    <t>Potential land uses for mitigation</t>
  </si>
  <si>
    <t>Constructed wetland</t>
  </si>
  <si>
    <t>Urban open Space</t>
  </si>
  <si>
    <t>Heathland / Bog</t>
  </si>
  <si>
    <t>Meadow/semi-natural grassland/greenspace</t>
  </si>
  <si>
    <t>Designed Wetland banking coefficient</t>
  </si>
  <si>
    <t>Banking coefficient</t>
  </si>
  <si>
    <r>
      <t>Note: This section calculates the required area (hectares) needed for each land use type to individually mitigate the total excess nutrients. This is included to provide context for the user when inputting required mitigation land uses in either section 4 and 5.</t>
    </r>
    <r>
      <rPr>
        <b/>
        <i/>
        <sz val="12"/>
        <color rgb="FF000000"/>
        <rFont val="Calibri"/>
        <family val="2"/>
        <scheme val="minor"/>
      </rPr>
      <t xml:space="preserve"> Constructed wetland uses a generic runoff coefficient for guidance purposes only and cannot be relied upon.</t>
    </r>
    <r>
      <rPr>
        <i/>
        <sz val="12"/>
        <color rgb="FF000000"/>
        <rFont val="Calibri"/>
        <family val="2"/>
        <scheme val="minor"/>
      </rPr>
      <t xml:space="preserve"> Site-specific values will differ and should be manually inputted above.</t>
    </r>
  </si>
  <si>
    <t>Identify proposed land uses for mitigation</t>
  </si>
  <si>
    <t>Sum total area needed to be created</t>
  </si>
  <si>
    <r>
      <t xml:space="preserve">Note: This section allows the user to input the required TP to be offset for the various land uses, with the equivalent area that would be required to be created. If the mitigation is to be implemented on-site then the actual area of mitigation land may differ from the value quoted due to the relative reduction in other land uses on-site. </t>
    </r>
    <r>
      <rPr>
        <b/>
        <i/>
        <sz val="12"/>
        <color rgb="FF000000"/>
        <rFont val="Calibri"/>
        <family val="2"/>
        <scheme val="minor"/>
      </rPr>
      <t>For on-site mitigation, these areas should be used a guide and put back into Stage 3 until the project is nutrient neutral.</t>
    </r>
  </si>
  <si>
    <r>
      <t xml:space="preserve">Note: This section allows the user to input the required area for the various land uses to be created, with the equivalent TP to be offset in order for the development to be nutrient neutral. </t>
    </r>
    <r>
      <rPr>
        <b/>
        <i/>
        <sz val="12"/>
        <color rgb="FF000000"/>
        <rFont val="Calibri"/>
        <family val="2"/>
        <scheme val="minor"/>
      </rPr>
      <t>For on-site mitigation, these areas should be used a guide and put back into Stage 3 until the project is nutrient neutral.</t>
    </r>
  </si>
  <si>
    <t>Mitigation - post 2025</t>
  </si>
  <si>
    <r>
      <t>Note: This section only applies to projects that will generate additional nutrients and as a result need to implement mitigation measures, in order to achieve nutrient neutrality under the post 2025</t>
    </r>
    <r>
      <rPr>
        <b/>
        <i/>
        <sz val="12"/>
        <color rgb="FF000000"/>
        <rFont val="Calibri"/>
        <family val="2"/>
        <scheme val="minor"/>
      </rPr>
      <t xml:space="preserve"> WRC permit limits</t>
    </r>
    <r>
      <rPr>
        <i/>
        <sz val="12"/>
        <color rgb="FF000000"/>
        <rFont val="Calibri"/>
        <family val="2"/>
        <scheme val="minor"/>
      </rPr>
      <t xml:space="preserve">. This tab is for </t>
    </r>
    <r>
      <rPr>
        <b/>
        <i/>
        <sz val="12"/>
        <color rgb="FF000000"/>
        <rFont val="Calibri"/>
        <family val="2"/>
        <scheme val="minor"/>
      </rPr>
      <t xml:space="preserve">guidance purposes only to provide an indication of the likely mitigation areas required for some (but not all) mitigation solutions. </t>
    </r>
  </si>
  <si>
    <r>
      <t>Note: This section only applies to projects that will generate additional nutrients and as a result need to implement mitigation measures, in order to achieve nutrient neutrality under the post 2030</t>
    </r>
    <r>
      <rPr>
        <b/>
        <i/>
        <sz val="12"/>
        <color rgb="FF000000"/>
        <rFont val="Calibri"/>
        <family val="2"/>
        <scheme val="minor"/>
      </rPr>
      <t xml:space="preserve"> WRC permit limits</t>
    </r>
    <r>
      <rPr>
        <i/>
        <sz val="12"/>
        <color rgb="FF000000"/>
        <rFont val="Calibri"/>
        <family val="2"/>
        <scheme val="minor"/>
      </rPr>
      <t xml:space="preserve">. This tab is for </t>
    </r>
    <r>
      <rPr>
        <b/>
        <i/>
        <sz val="12"/>
        <color rgb="FF000000"/>
        <rFont val="Calibri"/>
        <family val="2"/>
        <scheme val="minor"/>
      </rPr>
      <t xml:space="preserve">guidance purposes only to provide an indication of the likely mitigation areas required for some (but not all) mitigation solutions. </t>
    </r>
  </si>
  <si>
    <t>Difference in TP mitigation land uses between current WRC permit limits and post 2030 WRC permit limits</t>
  </si>
  <si>
    <t>Total Area of proposed TP mitigation land uses</t>
  </si>
  <si>
    <t>Current WRC</t>
  </si>
  <si>
    <t>Post 2030 WRC</t>
  </si>
  <si>
    <t>Difference</t>
  </si>
  <si>
    <t>Units</t>
  </si>
  <si>
    <t>Open Space / Greenfield</t>
  </si>
  <si>
    <t>Note: This section demonstrates to the user the amount of mitigation land that is no longer required for the project to be 'Phosphate Neutral' following implementation of the 2030 WRC permit limits</t>
  </si>
  <si>
    <t>Water Recycling Centre (WRC)</t>
  </si>
  <si>
    <t>2023 TP Permit limit (mg/l)</t>
  </si>
  <si>
    <t>2023 TP Discharge level (mg/l)</t>
  </si>
  <si>
    <t>Post 2025 TP Permit limit (mg/l)</t>
  </si>
  <si>
    <t>Post 2025 TP Discharge level (mg/l)</t>
  </si>
  <si>
    <t>Post 2030 TP Permit Limit (mg/l)</t>
  </si>
  <si>
    <t>Post 2030 TP Discharge level (mg/l)</t>
  </si>
  <si>
    <t>Land Use classification</t>
  </si>
  <si>
    <t>Leaching rate (kg / ha / yr)</t>
  </si>
  <si>
    <t>Allotment</t>
  </si>
  <si>
    <t>600-700 mm/yr</t>
  </si>
  <si>
    <t>700-900 mm/yr</t>
  </si>
  <si>
    <t>900-1200 mm/yr</t>
  </si>
  <si>
    <t>1200-1400 mm/yr</t>
  </si>
  <si>
    <t>Ansford</t>
  </si>
  <si>
    <t>Impermeable (Drained for Arable)</t>
  </si>
  <si>
    <t>Impermeable (Drained for Arable + Grassland)</t>
  </si>
  <si>
    <t>Ash Priors STW</t>
  </si>
  <si>
    <t>Ashbrittle STW</t>
  </si>
  <si>
    <t>Ashill STW</t>
  </si>
  <si>
    <t>Mixed Livestock</t>
  </si>
  <si>
    <t>Babcary STW</t>
  </si>
  <si>
    <t>Bishops Lydeard WRC</t>
  </si>
  <si>
    <t>Set aside Land</t>
  </si>
  <si>
    <t>Pig</t>
  </si>
  <si>
    <t>Biddisham STW</t>
  </si>
  <si>
    <t>Bradford On Tone WRC</t>
  </si>
  <si>
    <t>Bratton Seymour</t>
  </si>
  <si>
    <t>Bridgwater</t>
  </si>
  <si>
    <t>Broadway</t>
  </si>
  <si>
    <t>Bruton</t>
  </si>
  <si>
    <t>Parrett</t>
  </si>
  <si>
    <t>500-600 mm/yr</t>
  </si>
  <si>
    <t>Burrowbridge STW</t>
  </si>
  <si>
    <t>Butleigh STW</t>
  </si>
  <si>
    <t>Castle Cary WRC</t>
  </si>
  <si>
    <t>Treatment type</t>
  </si>
  <si>
    <t>P removal</t>
  </si>
  <si>
    <t>Chaffcombe STW</t>
  </si>
  <si>
    <t>User-defined package treatment plant</t>
  </si>
  <si>
    <t>Please enter effluent concentration in cell to right:</t>
  </si>
  <si>
    <t>Chard WRC</t>
  </si>
  <si>
    <t>Default package treatment plant</t>
  </si>
  <si>
    <t>Please enter 9.7 mg/l in cell to right:</t>
  </si>
  <si>
    <t>Charlton Horethorne WRC</t>
  </si>
  <si>
    <t>User defined septic tank</t>
  </si>
  <si>
    <t>Chilthorne Domer - Vagg Lane</t>
  </si>
  <si>
    <t>Please enter 11.6 mg/l in cell to right:</t>
  </si>
  <si>
    <t>Chilthorne Domer - Halfway house</t>
  </si>
  <si>
    <t>Chilthorne Domer - Ilchester Road</t>
  </si>
  <si>
    <t>Closworth</t>
  </si>
  <si>
    <t>Combe Florey STW</t>
  </si>
  <si>
    <t>Combe St Nicholas WRC</t>
  </si>
  <si>
    <t>Brue &amp; Axe</t>
  </si>
  <si>
    <t>Compton Pauncefoot STW</t>
  </si>
  <si>
    <t>Corscombe WRC</t>
  </si>
  <si>
    <t>Corton Denham STW</t>
  </si>
  <si>
    <t>Crewkerne East STW</t>
  </si>
  <si>
    <t>Croscombe STW</t>
  </si>
  <si>
    <t>Ditcheat WRC</t>
  </si>
  <si>
    <t>Domett STW</t>
  </si>
  <si>
    <t>Donyatt WRC</t>
  </si>
  <si>
    <t>Dowlish Wake WRC</t>
  </si>
  <si>
    <t>Draycott And Rodneystoke STW</t>
  </si>
  <si>
    <t>East Chinnock WRC</t>
  </si>
  <si>
    <t>East Coker STW</t>
  </si>
  <si>
    <t>East Lyng STW</t>
  </si>
  <si>
    <t>Rainfall band</t>
  </si>
  <si>
    <t>midpoint</t>
  </si>
  <si>
    <t>Catchment wetness (U)</t>
  </si>
  <si>
    <t>High density residential</t>
  </si>
  <si>
    <t>Medium density residential</t>
  </si>
  <si>
    <t>Low density residential</t>
  </si>
  <si>
    <t>Evercreech WRC</t>
  </si>
  <si>
    <t>TP</t>
  </si>
  <si>
    <t>Fitzhead STW</t>
  </si>
  <si>
    <t>Fivehead WRC</t>
  </si>
  <si>
    <t>675-700</t>
  </si>
  <si>
    <t>Glastonbury WRC</t>
  </si>
  <si>
    <t>700-750</t>
  </si>
  <si>
    <t>Halfway STW</t>
  </si>
  <si>
    <t>750-800</t>
  </si>
  <si>
    <t>Halse STW</t>
  </si>
  <si>
    <t>800-850</t>
  </si>
  <si>
    <t>Halstock WRC</t>
  </si>
  <si>
    <t>850-900</t>
  </si>
  <si>
    <t>Hardington Mandeville WRC</t>
  </si>
  <si>
    <t>900-950</t>
  </si>
  <si>
    <t>Haselbury Plucknett WRC</t>
  </si>
  <si>
    <t>950-1000</t>
  </si>
  <si>
    <t>Hatch Beauchamp WRC</t>
  </si>
  <si>
    <t>Holywell Lake STW</t>
  </si>
  <si>
    <t>1100-1200</t>
  </si>
  <si>
    <t>Hornsey Bridge STW</t>
  </si>
  <si>
    <t>1200-1400</t>
  </si>
  <si>
    <t>Ilchester WRC</t>
  </si>
  <si>
    <t>Ilminster WRC</t>
  </si>
  <si>
    <t>Ilton WRC</t>
  </si>
  <si>
    <t>Land use</t>
  </si>
  <si>
    <t>Imperviousness (%)</t>
  </si>
  <si>
    <t>EMC (mg/l)</t>
  </si>
  <si>
    <t>Langford Budville STW</t>
  </si>
  <si>
    <t>Langport STW</t>
  </si>
  <si>
    <t>Longbridge STW</t>
  </si>
  <si>
    <t>Longburton STW</t>
  </si>
  <si>
    <t>Lottisham STW</t>
  </si>
  <si>
    <t>Lovington STW</t>
  </si>
  <si>
    <t>Lydeard St Lawrence WRC</t>
  </si>
  <si>
    <t>Lydford STW</t>
  </si>
  <si>
    <t>Martock WRC</t>
  </si>
  <si>
    <t>Meare Green STW</t>
  </si>
  <si>
    <t>Meare WRC</t>
  </si>
  <si>
    <t>Merriott WRC</t>
  </si>
  <si>
    <t>Middle Stoford STW</t>
  </si>
  <si>
    <t>Milborne Port STW</t>
  </si>
  <si>
    <t>Milverton WwTW</t>
  </si>
  <si>
    <t>Muchelney STW</t>
  </si>
  <si>
    <t>North Brewham</t>
  </si>
  <si>
    <t>North Cadbury WRC</t>
  </si>
  <si>
    <t>Nynehead</t>
  </si>
  <si>
    <t>Over Stratton STW</t>
  </si>
  <si>
    <t>Parbrook WRC</t>
  </si>
  <si>
    <t>Pitcombe STW</t>
  </si>
  <si>
    <t>Pilton WRC</t>
  </si>
  <si>
    <t>Podimore STW</t>
  </si>
  <si>
    <t>Poyntington WRC</t>
  </si>
  <si>
    <t>Sampford Arundle</t>
  </si>
  <si>
    <t>Sandford Orcas WRC</t>
  </si>
  <si>
    <t>Sandhill Park WRC</t>
  </si>
  <si>
    <t>Shepton Mallet WRC</t>
  </si>
  <si>
    <t>Shepton Mantague STW</t>
  </si>
  <si>
    <t>Sherborne WRC</t>
  </si>
  <si>
    <t>Somerton STW</t>
  </si>
  <si>
    <t>South Barrow STW</t>
  </si>
  <si>
    <t>South Brewham STW</t>
  </si>
  <si>
    <t>South Perrott WRC</t>
  </si>
  <si>
    <t>South Petherton STW</t>
  </si>
  <si>
    <t>South View, Seven Ash</t>
  </si>
  <si>
    <t>Sparkford WRC</t>
  </si>
  <si>
    <t>Stoke St Gregory STW</t>
  </si>
  <si>
    <t>Sutton Bingham Supply STW</t>
  </si>
  <si>
    <t>Sutton Montis STW</t>
  </si>
  <si>
    <t>Taunton WRC</t>
  </si>
  <si>
    <t>Theale</t>
  </si>
  <si>
    <t>Thornford WRC</t>
  </si>
  <si>
    <t>Tintinhull And Ash WRC</t>
  </si>
  <si>
    <t>Trent STW</t>
  </si>
  <si>
    <t>Upton Noble STW</t>
  </si>
  <si>
    <t>Unknown</t>
  </si>
  <si>
    <t>Waterrow STW</t>
  </si>
  <si>
    <t>Wedmore WRC</t>
  </si>
  <si>
    <t>Wellington WwTW</t>
  </si>
  <si>
    <t>Wells STW</t>
  </si>
  <si>
    <t>West Bagborough STW</t>
  </si>
  <si>
    <t>West Buckland</t>
  </si>
  <si>
    <t>West Huntspill</t>
  </si>
  <si>
    <t>West Lambrook</t>
  </si>
  <si>
    <t>Westbury Sub Mendip STW</t>
  </si>
  <si>
    <t>Whitelackington STW</t>
  </si>
  <si>
    <t>Wincanton STW</t>
  </si>
  <si>
    <t>Wiveliscombe (Style) STW</t>
  </si>
  <si>
    <t>Wiveliscombe (Hillsmoor)</t>
  </si>
  <si>
    <t>Wookey WRC</t>
  </si>
  <si>
    <t>Wrangway STW</t>
  </si>
  <si>
    <t>Yarlington STW</t>
  </si>
  <si>
    <t>Yeovil (Pen Mill) WRC</t>
  </si>
  <si>
    <t>Yeovil Without STW</t>
  </si>
  <si>
    <t>Permitted treatment works</t>
  </si>
  <si>
    <t>unpermitted - average discharge</t>
  </si>
  <si>
    <t>Unnpermitted and not monitored</t>
  </si>
  <si>
    <t>Outside of the catchment</t>
  </si>
  <si>
    <t>Stretch target</t>
  </si>
  <si>
    <t>Zero value calculator</t>
  </si>
  <si>
    <t>Iterative 'Zero' value calculator</t>
  </si>
  <si>
    <t xml:space="preserve">Note: This section provides details on the number of proposed dwellings that can be built and occupied that are acceptable as nutrient neutral prior to the implementation of mitigation measures, should they be required. </t>
  </si>
  <si>
    <t>Please select the Development type</t>
  </si>
  <si>
    <t>House</t>
  </si>
  <si>
    <t>Summary of proposed development</t>
  </si>
  <si>
    <t>Zero value</t>
  </si>
  <si>
    <t>Number of units proposed</t>
  </si>
  <si>
    <t>TP percentage of development neutral</t>
  </si>
  <si>
    <t>Total Development area</t>
  </si>
  <si>
    <t>Excess TP</t>
  </si>
  <si>
    <t>Current nutrient load</t>
  </si>
  <si>
    <t>Number of dwellings</t>
  </si>
  <si>
    <t>TP load from current land usage</t>
  </si>
  <si>
    <t>Proposed nutrient load</t>
  </si>
  <si>
    <t>TP loading from Wastewater</t>
  </si>
  <si>
    <t>Development will be Phosphorous neutral - no mitigation will be required</t>
  </si>
  <si>
    <t>Development will generate additional Phosphorous (Mitigation required) - Please progress to Stage 5</t>
  </si>
  <si>
    <t>Development will generate additional Phosphorous (Mitigation required) - Please progress to Stage 6</t>
  </si>
  <si>
    <t>TP Zero value calculations</t>
  </si>
  <si>
    <t>% fallowed</t>
  </si>
  <si>
    <t>Proposed multiplier</t>
  </si>
  <si>
    <t>Set aside multiplier</t>
  </si>
  <si>
    <t>Proposed land use (kg/yr)</t>
  </si>
  <si>
    <t>Set aside land use (kg/yr)</t>
  </si>
  <si>
    <t>Sum land use</t>
  </si>
  <si>
    <t>Net change land use</t>
  </si>
  <si>
    <t>Dwellings/ha</t>
  </si>
  <si>
    <t>WwTW</t>
  </si>
  <si>
    <t>Total</t>
  </si>
  <si>
    <t>Rainfall Tab</t>
  </si>
  <si>
    <t>The Rainfall tab shows the average annual rainfall in the nutrient neutrality area for the period 2001 to 2021. The rainfall is split into the following bands: 650-675mm/yr, 675-700mm/yr, 700-750mm/yr, 750-800mm/yr, 800-850mm/yr, 850-900mm/yr, 900-950mm/yr, 950-1000mm/yr, 1000-1100mm/yr, 1100-1200mm/yr and 1200-1400mm/yr.</t>
  </si>
  <si>
    <t>_Ctrl_1</t>
  </si>
  <si>
    <t>{"WidgetClassification":3,"State":1,"HyperlinkFlavor":0,"Placement":0,"LinkTarget":0,"CellName":"_Ctrl_1","CellAddress":"='Help'!$C$83","WidgetName":8,"HiddenRow":1,"SheetCodeName":null,"ControlId":"","wcb":0}</t>
  </si>
  <si>
    <t>{"IsHide":false,"HiddenInExcel":false,"SheetId":-1,"Name":"Introduction","Guid":"GH02KY","Index":1,"VisibleRange":"","SheetTheme":{"TabColor":"","BodyColor":"","BodyImage":""},"IsPrintSheet":false}</t>
  </si>
  <si>
    <t>{"InputDetection":2,"RecalcMode":0,"Layout":0,"LayoutSamePagesHeightEnabled":false,"Theme":{"BgColor":"#FFFFFFFF","BgImage":"","InputBorderStyle":0,"AppliedTheme":""},"SmartphoneSettings":{"ViewportLock":true,"UseOldViewEngine":false,"EnableZoom":false,"EnableSwipe":false,"HideToolbar":false,"InheritBackgroundColor":false,"CheckboxFlavor":1,"ShowBubble":false},"Name":"Phosphate Budget Calculator","Flavor":0,"Edition":3,"CopyProtect":{"IsEnabled":false,"DomainName":""},"HideSscPoweredlogo":false,"AspnetConfig":{"BrowseUrl":"http://localhost/ssc","FileExtension":0},"NodeSecureLoginEnabled":false,"SmartphoneTheme":1,"Toolbar":{"Position":1,"IsSubmit":false,"IsPrintSheet":true,"IsPrintAll":true,"IsPrintThis":false,"IsReset":true,"IsUpdate":true},"ConfigureSubmit":{"IsShowCaptcha":false,"IsUseSscWebServer":true,"ReceiverCode":"oliver.bowers@rhdhv.com","IsFreeService":false,"IsAdvanceService":true,"IsSecureEmail":false,"IsDemonstrationService":false,"AfterSuccessfulSubmit":"","AfterFailSubmit":"","AfterCancelWizard":"","IsUseOwnWebServer":false,"OwnWebServerURL":"","OwnWebServerTarget":"","SubmitTarget":0},"IgnoreBgInputCell":false,"ButtonStyle":0,"ResponsiveDesignDisabled":false,"HideLookupRange":false,"BrowserStorageEnabled":false,"RealtimeSyncEnabled":false,"GoogleAnalyticsTrackingId":"","GoogleApiKey":"","ChartSelected":3,"ChartYAxisFixed":false}</t>
  </si>
  <si>
    <t>{"BrowserAndLocation":{"ConversionPath":"C:\\Users\\305327\\Documents\\SpreadsheetConverter","SelectedBrowsers":[]},"SpreadsheetServer":{"Username":"","Password":"","ServerUrl":"","TestUsername":"","TestPassword":""},"ConfigureSubmitDefault":{"Email":"oliver.bowers@rhdhv.com","Free":false,"Advanced":true,"AdvancedSecured":false,"Demo":false},"MessageBubble":{"Close":false,"TopMsg":0},"CustomizeTheme":{"Theme":"C:\\Users\\user\\AppData\\Roaming\\SpreadsheetConverter\\V8\\SupportFiles\\themes\\bootstrap\\css\\default-ssc-theme.css"},"QrSetting":{"ShowOnConversion":true},"CongratsPage":{"LastOpenedVersion":""},"WordPressPluginSetting":{"IsPluginInstalled":false},"Preferences":{"IsAdvancedSettingModelInitialize":true,"IsCaptchaInitialize":true,"IsNodeSettingInitialize":false,"IsRequiredFieldModalInitialize":true,"IsSubmitDialogModelInitialize":true,"IsToolbarButtonModelInitialize":true,"IsWizardButtonModelInitialize":true,"ReadFromHidden":false,"AdvancedSetting":null,"NodeSetting":{"LoginText":{"LoginButtonText":"Login","PageDescription":"Restricted access only","LoginErrorMessage":"Authentication failed, please check your username and password.","PlaceholderPassword":"password","PlaceholderUsername":"username / email","UserExtraMessage":""}},"Captcha":{"Heading":"Enter the number displayed below.","Message":"This is to verify that you are a human visitor, to prevent automated form submissions.","OkButton":"OK","CancelButton":"Cancel","ErrorMessage":"Your answer is incorrect, please try again."},"RequiredField":{"ErrorMessage":"The fields with the red border are required or invalid.","OkButton":"OK","DDLDefaultRequiredText":"Please Select"},"WizardButton":{"Next":"Next","Previous":"Previous","Cancel":"Cancel","Finish":"Finish"},"ToolbarButton":{"Submit":"Submit","PrintSheet":"Print","PrintAll":"Print All","Reset":"Reset","Update":"Update","Back":"Back","PrintThis":"Print This"},"SubmitDialog":{"SubmitDialogHeading":"Submit Successful.","SubmitDialogDesc":"The form was successfully submitted.","BeforeSubmitDesc":"The form is being submitted.","OfflineHeading":"Save until online","OfflineDesc":"You are currently offline and the submit failed. Do you want to save the submit and send it later when you are online.","OfflineConfirm":"Do you want to save?","OfflineSubmitHeading":"Offline forms submit confirmation","OfflineSubmitDesc":"There are Offline form(s), which are now ready to submit in server.","OfflineSubmitConfirm":"Do you want to submit?","FailOfflineHeading":"Offline Form submit failed","FailOfflineDesc":"Unable to connect to the Internet. Please try submitting the offline forms later in internet connection.","OfflineSubmitWait":"It may take sometime to finish all submits depending on the size of offline forms and internet connection.","OfflineSubmitWaitCounter":"Left","OfflineSubmitError":"Submit error: Please try later."}},"UxPreferences":null}</t>
  </si>
  <si>
    <t>_Ctrl_2</t>
  </si>
  <si>
    <t>{"WidgetClassification":3,"State":1,"HyperlinkFlavor":0,"Placement":0,"LinkTarget":0,"CellName":"_Ctrl_2","CellAddress":"='Help'!$C$84","WidgetName":8,"HiddenRow":2,"SheetCodeName":null,"ControlId":"","wcb":0}</t>
  </si>
  <si>
    <t>{"IsHide":false,"HiddenInExcel":false,"SheetId":-1,"Name":"Info","Guid":"MWW6DG","Index":2,"VisibleRange":"","SheetTheme":{"TabColor":"","BodyColor":"","BodyImage":""},"IsPrintSheet":false}</t>
  </si>
  <si>
    <t>_Ctrl_3</t>
  </si>
  <si>
    <t>{"WidgetClassification":3,"State":1,"HyperlinkFlavor":0,"Placement":0,"LinkTarget":0,"CellName":"_Ctrl_3","CellAddress":"='Help'!$C$86","WidgetName":8,"HiddenRow":3,"SheetCodeName":null,"ControlId":"","wcb":0}</t>
  </si>
  <si>
    <t>{"IsHide":false,"HiddenInExcel":false,"SheetId":-1,"Name":"Stage 1","Guid":"2IH9DR","Index":3,"VisibleRange":"","SheetTheme":{"TabColor":"","BodyColor":"","BodyImage":""},"IsPrintSheet":false}</t>
  </si>
  <si>
    <t>_Ctrl_4</t>
  </si>
  <si>
    <t>{"WidgetClassification":3,"State":1,"HyperlinkFlavor":0,"Placement":0,"LinkTarget":0,"CellName":"_Ctrl_4","CellAddress":"='Help'!$C$36","WidgetName":8,"HiddenRow":4,"SheetCodeName":null,"ControlId":"","wcb":0}</t>
  </si>
  <si>
    <t>{"IsHide":false,"HiddenInExcel":false,"SheetId":-1,"Name":"Stage 2","Guid":"PBBYLW","Index":4,"VisibleRange":"","SheetTheme":{"TabColor":"","BodyColor":"","BodyImage":""},"IsPrintSheet":false}</t>
  </si>
  <si>
    <t>_Ctrl_5</t>
  </si>
  <si>
    <t>{"WidgetClassification":0,"State":1,"IsRequired":false,"IsMultiline":true,"IsHidden":false,"Placeholder":"","InputType":0,"Rows":3,"IsMergeJustify":false,"CellName":"_Ctrl_5","CellAddress":"='Info'!$C$13","WidgetName":4,"HiddenRow":5,"SheetCodeName":null,"ControlId":"","wcb":0}</t>
  </si>
  <si>
    <t>{"IsHide":false,"HiddenInExcel":false,"SheetId":-1,"Name":"Stage 3","Guid":"OBSXTD","Index":5,"VisibleRange":"","SheetTheme":{"TabColor":"","BodyColor":"","BodyImage":""},"IsPrintSheet":false}</t>
  </si>
  <si>
    <t>_Ctrl_6</t>
  </si>
  <si>
    <t>{"WidgetClassification":0,"State":1,"IsRequired":false,"IsMultiline":true,"IsHidden":false,"Placeholder":"","InputType":0,"Rows":3,"IsMergeJustify":false,"CellName":"_Ctrl_6","CellAddress":"='Info'!$E$8","WidgetName":4,"HiddenRow":6,"SheetCodeName":null,"ControlId":"","wcb":0}</t>
  </si>
  <si>
    <t>{"IsHide":false,"HiddenInExcel":false,"SheetId":-1,"Name":"Stage 4","Guid":"LE582F","Index":6,"VisibleRange":"","SheetTheme":{"TabColor":"","BodyColor":"","BodyImage":""},"IsPrintSheet":false}</t>
  </si>
  <si>
    <t>_Ctrl_7</t>
  </si>
  <si>
    <t>{"WidgetClassification":0,"State":1,"IsRequired":false,"IsMultiline":true,"IsHidden":false,"Placeholder":"","InputType":0,"Rows":3,"IsMergeJustify":false,"CellName":"_Ctrl_7","CellAddress":"='Info'!$E$6","WidgetName":4,"HiddenRow":7,"SheetCodeName":null,"ControlId":"","wcb":0}</t>
  </si>
  <si>
    <t>{"IsHide":false,"HiddenInExcel":false,"SheetId":-1,"Name":"Mitigation look up - current","Guid":"HSZ08X","Index":7,"VisibleRange":"","SheetTheme":{"TabColor":"","BodyColor":"","BodyImage":""},"IsPrintSheet":false}</t>
  </si>
  <si>
    <t>_Ctrl_8</t>
  </si>
  <si>
    <t>{"IsHide":false,"HiddenInExcel":false,"SheetId":-1,"Name":"Mitigation look up - post 2025","Guid":"IE6MI1","Index":8,"VisibleRange":"","SheetTheme":{"TabColor":"","BodyColor":"","BodyImage":""},"IsPrintSheet":false}</t>
  </si>
  <si>
    <t>_Ctrl_9</t>
  </si>
  <si>
    <t>{"IsHide":false,"HiddenInExcel":false,"SheetId":-1,"Name":"Mitigation look up - post 2030","Guid":"Y5YSOH","Index":9,"VisibleRange":"","SheetTheme":{"TabColor":"","BodyColor":"","BodyImage":""},"IsPrintSheet":false}</t>
  </si>
  <si>
    <t>_Ctrl_10</t>
  </si>
  <si>
    <t>{"IsHide":false,"HiddenInExcel":false,"SheetId":-1,"Name":"Mitigation comparison","Guid":"KT56TH","Index":10,"VisibleRange":"","SheetTheme":{"TabColor":"","BodyColor":"","BodyImage":""},"IsPrintSheet":false}</t>
  </si>
  <si>
    <t>_Ctrl_11</t>
  </si>
  <si>
    <t>{"IsHide":true,"HiddenInExcel":false,"SheetId":-1,"Name":"Zero value Calc","Guid":"2I8WXQ","Index":11,"VisibleRange":"","SheetTheme":{"TabColor":"","BodyColor":"","BodyImage":""},"IsPrintSheet":false}</t>
  </si>
  <si>
    <t>_Ctrl_12</t>
  </si>
  <si>
    <t>{"IsHide":true,"HiddenInExcel":true,"SheetId":-1,"Name":"Graph Calculations","Guid":"L2SEMM","Index":12,"VisibleRange":"","SheetTheme":{"TabColor":"","BodyColor":"","BodyImage":""},"IsPrintSheet":false}</t>
  </si>
  <si>
    <t>_Ctrl_13</t>
  </si>
  <si>
    <t>{"IsHide":true,"HiddenInExcel":false,"SheetId":-1,"Name":"Data Tables","Guid":"DHW3E9","Index":13,"VisibleRange":"","SheetTheme":{"TabColor":"","BodyColor":"","BodyImage":""},"IsPrintSheet":false}</t>
  </si>
  <si>
    <t>_Ctrl_14</t>
  </si>
  <si>
    <t>{"IsHide":false,"HiddenInExcel":false,"SheetId":-1,"Name":"Rainfall","Guid":"M3N0WR","Index":14,"VisibleRange":"","SheetTheme":{"TabColor":"","BodyColor":"","BodyImage":""},"IsPrintSheet":false}</t>
  </si>
  <si>
    <t>_Ctrl_15</t>
  </si>
  <si>
    <t>_Ctrl_16</t>
  </si>
  <si>
    <t>_Ctrl_17</t>
  </si>
  <si>
    <t>_Ctrl_18</t>
  </si>
  <si>
    <t>_Ctrl_19</t>
  </si>
  <si>
    <t>_Ctrl_20</t>
  </si>
  <si>
    <t>_Ctrl_21</t>
  </si>
  <si>
    <t>_Ctrl_22</t>
  </si>
  <si>
    <t>_Ctrl_23</t>
  </si>
  <si>
    <t>_Ctrl_24</t>
  </si>
  <si>
    <t>_Ctrl_25</t>
  </si>
  <si>
    <t>_Ctrl_26</t>
  </si>
  <si>
    <t>_Ctrl_27</t>
  </si>
  <si>
    <t>_Ctrl_28</t>
  </si>
  <si>
    <t>_Ctrl_29</t>
  </si>
  <si>
    <t>_Ctrl_30</t>
  </si>
  <si>
    <t>_Ctrl_31</t>
  </si>
  <si>
    <t>_Ctrl_32</t>
  </si>
  <si>
    <t>_Ctrl_33</t>
  </si>
  <si>
    <t>_Ctrl_34</t>
  </si>
  <si>
    <t>_Ctrl_35</t>
  </si>
  <si>
    <t>_Ctrl_36</t>
  </si>
  <si>
    <t>_Ctrl_37</t>
  </si>
  <si>
    <t>_Ctrl_38</t>
  </si>
  <si>
    <t>_Ctrl_39</t>
  </si>
  <si>
    <t>_Ctrl_40</t>
  </si>
  <si>
    <t>_Ctrl_41</t>
  </si>
  <si>
    <t>_Ctrl_42</t>
  </si>
  <si>
    <t>_Ctrl_43</t>
  </si>
  <si>
    <t>_Ctrl_44</t>
  </si>
  <si>
    <t>_Ctrl_45</t>
  </si>
  <si>
    <t>_Ctrl_46</t>
  </si>
  <si>
    <t>_Ctrl_47</t>
  </si>
  <si>
    <t>_Ctrl_48</t>
  </si>
  <si>
    <t>_Ctrl_49</t>
  </si>
  <si>
    <t>_Ctrl_50</t>
  </si>
  <si>
    <t>_Ctrl_51</t>
  </si>
  <si>
    <t>_Ctrl_52</t>
  </si>
  <si>
    <t>_Ctrl_53</t>
  </si>
  <si>
    <t>_Ctrl_54</t>
  </si>
  <si>
    <t>_Ctrl_55</t>
  </si>
  <si>
    <t>_Ctrl_56</t>
  </si>
  <si>
    <t>_Ctrl_57</t>
  </si>
  <si>
    <t>_Ctrl_58</t>
  </si>
  <si>
    <t>_Ctrl_59</t>
  </si>
  <si>
    <t>_Ctrl_60</t>
  </si>
  <si>
    <t>_Ctrl_61</t>
  </si>
  <si>
    <t>_Ctrl_62</t>
  </si>
  <si>
    <t>_ram_63</t>
  </si>
  <si>
    <t>{"WidgetClassification":4,"State":1,"ShowHideWidgetName":"Show-Hide 1","ClassName":"_css7b3c","ShowHideType":1,"RowRange":"","RowRangeName":"_dep_ram_63","ControllingCell":"","ControllingCellName":"_ctrl_ram_63","StartRow":null,"EndRow":null,"SheetName":"","SheetId":0,"SheetIdCollection":[],"CellName":"_ram_63","CellAddress":"='Stage 4 (2)'!$K$14","WidgetName":21,"HiddenRow":63,"SheetCodeName":null,"ControlId":"","wcb":0}</t>
  </si>
  <si>
    <t>_Ctrl_64</t>
  </si>
  <si>
    <t>_Ctrl_65</t>
  </si>
  <si>
    <t>{"WidgetClassification":3,"State":1,"TelNo":"","CallusFlavor":1,"CellName":"_Ctrl_65","CellAddress":"='Zero value Calc'!$AU$15","WidgetName":10,"HiddenRow":65,"SheetCodeName":null,"ControlId":"","wcb":0}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</si>
</sst>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00"/>
  </numFmts>
  <fonts count="42">
    <font>
      <sz val="10"/>
      <color rgb="FF000000"/>
      <name val="Arial"/>
      <family val="2"/>
    </font>
    <font>
      <sz val="11"/>
      <color theme="1"/>
      <name val="Calibri"/>
      <family val="2"/>
      <scheme val="minor"/>
    </font>
    <font>
      <sz val="11"/>
      <color theme="1"/>
      <name val="Calibri"/>
      <family val="2"/>
      <scheme val="minor"/>
    </font>
    <font>
      <b/>
      <sz val="10"/>
      <color rgb="FF000000"/>
      <name val="Arial"/>
      <family val="2"/>
    </font>
    <font>
      <sz val="11"/>
      <color rgb="FF000000"/>
      <name val="Arial"/>
      <family val="2"/>
    </font>
    <font>
      <sz val="12"/>
      <color rgb="FF000000"/>
      <name val="Arial"/>
      <family val="2"/>
    </font>
    <font>
      <sz val="8"/>
      <color rgb="FF000000"/>
      <name val="Arial"/>
      <family val="2"/>
    </font>
    <font>
      <b/>
      <sz val="8"/>
      <color rgb="FF000000"/>
      <name val="Arial"/>
      <family val="2"/>
    </font>
    <font>
      <i/>
      <sz val="8"/>
      <color rgb="FF000000"/>
      <name val="Arial"/>
      <family val="2"/>
    </font>
    <font>
      <b/>
      <sz val="12"/>
      <color rgb="FF000000"/>
      <name val="Arial"/>
      <family val="2"/>
    </font>
    <font>
      <sz val="11"/>
      <color theme="1"/>
      <name val="Arial"/>
      <family val="2"/>
    </font>
    <font>
      <sz val="8"/>
      <name val="Arial"/>
      <family val="2"/>
    </font>
    <font>
      <b/>
      <sz val="11"/>
      <color theme="1"/>
      <name val="Calibri"/>
      <family val="2"/>
      <scheme val="minor"/>
    </font>
    <font>
      <u/>
      <sz val="10"/>
      <color theme="10"/>
      <name val="Arial"/>
      <family val="2"/>
    </font>
    <font>
      <b/>
      <sz val="12"/>
      <color rgb="FF000000"/>
      <name val="Calibri"/>
      <family val="2"/>
      <scheme val="minor"/>
    </font>
    <font>
      <b/>
      <sz val="10"/>
      <color rgb="FF000000"/>
      <name val="Calibri"/>
      <family val="2"/>
      <scheme val="minor"/>
    </font>
    <font>
      <sz val="10"/>
      <color rgb="FF000000"/>
      <name val="Calibri"/>
      <family val="2"/>
      <scheme val="minor"/>
    </font>
    <font>
      <sz val="11"/>
      <color rgb="FF000000"/>
      <name val="Calibri"/>
      <family val="2"/>
      <scheme val="minor"/>
    </font>
    <font>
      <sz val="10.5"/>
      <color rgb="FF000000"/>
      <name val="Calibri"/>
      <family val="2"/>
      <scheme val="minor"/>
    </font>
    <font>
      <sz val="10.5"/>
      <color rgb="FF000000"/>
      <name val="Arial"/>
      <family val="2"/>
    </font>
    <font>
      <sz val="12"/>
      <color rgb="FF000000"/>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sz val="12"/>
      <name val="Calibri"/>
      <family val="2"/>
      <scheme val="minor"/>
    </font>
    <font>
      <i/>
      <sz val="12"/>
      <color rgb="FF000000"/>
      <name val="Calibri"/>
      <family val="2"/>
      <scheme val="minor"/>
    </font>
    <font>
      <b/>
      <i/>
      <sz val="12"/>
      <color rgb="FF000000"/>
      <name val="Calibri"/>
      <family val="2"/>
      <scheme val="minor"/>
    </font>
    <font>
      <sz val="12"/>
      <color rgb="FFFF0000"/>
      <name val="Calibri"/>
      <family val="2"/>
      <scheme val="minor"/>
    </font>
    <font>
      <b/>
      <sz val="12"/>
      <color rgb="FFFF0000"/>
      <name val="Calibri"/>
      <family val="2"/>
      <scheme val="minor"/>
    </font>
    <font>
      <u/>
      <sz val="12"/>
      <name val="Calibri"/>
      <family val="2"/>
    </font>
    <font>
      <sz val="12"/>
      <name val="Calibri"/>
      <family val="2"/>
    </font>
    <font>
      <sz val="12"/>
      <color rgb="FF000000"/>
      <name val="Calibri Light"/>
      <family val="2"/>
      <scheme val="major"/>
    </font>
    <font>
      <b/>
      <sz val="12"/>
      <color rgb="FF000000"/>
      <name val="Calibri Light"/>
      <family val="2"/>
      <scheme val="major"/>
    </font>
    <font>
      <b/>
      <sz val="12"/>
      <name val="Calibri"/>
      <family val="2"/>
    </font>
    <font>
      <sz val="12"/>
      <color rgb="FF000000"/>
      <name val="Calibri"/>
      <scheme val="minor"/>
    </font>
    <font>
      <sz val="10"/>
      <color theme="0"/>
      <name val="Arial"/>
      <family val="2"/>
    </font>
    <font>
      <sz val="10"/>
      <color theme="0" tint="-0.14999847407452621"/>
      <name val="Arial"/>
      <family val="2"/>
    </font>
    <font>
      <sz val="11"/>
      <color theme="0" tint="-0.14999847407452621"/>
      <name val="Calibri"/>
      <family val="2"/>
      <scheme val="minor"/>
    </font>
    <font>
      <b/>
      <sz val="11"/>
      <color theme="0" tint="-0.14999847407452621"/>
      <name val="Calibri"/>
      <family val="2"/>
      <scheme val="minor"/>
    </font>
    <font>
      <sz val="11"/>
      <color theme="0" tint="-0.34998626667073579"/>
      <name val="Calibri"/>
      <family val="2"/>
      <scheme val="minor"/>
    </font>
    <font>
      <sz val="12"/>
      <color theme="0" tint="-0.34998626667073579"/>
      <name val="Calibri"/>
      <family val="2"/>
      <scheme val="minor"/>
    </font>
  </fonts>
  <fills count="4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0000"/>
        <bgColor indexed="64"/>
      </patternFill>
    </fill>
    <fill>
      <patternFill patternType="solid">
        <fgColor rgb="FFB9E8FF"/>
        <bgColor indexed="64"/>
      </patternFill>
    </fill>
    <fill>
      <patternFill patternType="solid">
        <fgColor rgb="FFFFFFCC"/>
        <bgColor indexed="64"/>
      </patternFill>
    </fill>
    <fill>
      <patternFill patternType="solid">
        <fgColor rgb="FFFFFF00"/>
        <bgColor indexed="64"/>
      </patternFill>
    </fill>
    <fill>
      <patternFill patternType="solid">
        <fgColor rgb="FFF0EA00"/>
        <bgColor indexed="64"/>
      </patternFill>
    </fill>
    <fill>
      <patternFill patternType="solid">
        <fgColor rgb="FFE0C0A0"/>
        <bgColor indexed="64"/>
      </patternFill>
    </fill>
    <fill>
      <patternFill patternType="solid">
        <fgColor rgb="FFCC6600"/>
        <bgColor indexed="64"/>
      </patternFill>
    </fill>
    <fill>
      <patternFill patternType="solid">
        <fgColor rgb="FF996633"/>
        <bgColor indexed="64"/>
      </patternFill>
    </fill>
    <fill>
      <patternFill patternType="solid">
        <fgColor rgb="FF603000"/>
        <bgColor indexed="64"/>
      </patternFill>
    </fill>
    <fill>
      <patternFill patternType="solid">
        <fgColor rgb="FFA29E00"/>
        <bgColor indexed="64"/>
      </patternFill>
    </fill>
    <fill>
      <patternFill patternType="solid">
        <fgColor rgb="FFDE8400"/>
        <bgColor indexed="64"/>
      </patternFill>
    </fill>
    <fill>
      <patternFill patternType="solid">
        <fgColor rgb="FFF1EFDB"/>
        <bgColor indexed="64"/>
      </patternFill>
    </fill>
    <fill>
      <patternFill patternType="solid">
        <fgColor rgb="FFF69CAB"/>
        <bgColor indexed="64"/>
      </patternFill>
    </fill>
    <fill>
      <patternFill patternType="solid">
        <fgColor rgb="FFFD7835"/>
        <bgColor indexed="64"/>
      </patternFill>
    </fill>
    <fill>
      <patternFill patternType="solid">
        <fgColor rgb="FFC40000"/>
        <bgColor indexed="64"/>
      </patternFill>
    </fill>
    <fill>
      <patternFill patternType="solid">
        <fgColor rgb="FFFFCCFF"/>
        <bgColor indexed="64"/>
      </patternFill>
    </fill>
    <fill>
      <patternFill patternType="solid">
        <fgColor rgb="FF00FE00"/>
        <bgColor indexed="64"/>
      </patternFill>
    </fill>
    <fill>
      <patternFill patternType="solid">
        <fgColor rgb="FF269A26"/>
        <bgColor indexed="64"/>
      </patternFill>
    </fill>
    <fill>
      <patternFill patternType="solid">
        <fgColor rgb="FFB2FF8B"/>
        <bgColor indexed="64"/>
      </patternFill>
    </fill>
    <fill>
      <patternFill patternType="solid">
        <fgColor rgb="FF33CCFF"/>
        <bgColor indexed="64"/>
      </patternFill>
    </fill>
    <fill>
      <patternFill patternType="solid">
        <fgColor rgb="FF3399FF"/>
        <bgColor indexed="64"/>
      </patternFill>
    </fill>
    <fill>
      <patternFill patternType="solid">
        <fgColor rgb="FF8C8CB2"/>
        <bgColor indexed="64"/>
      </patternFill>
    </fill>
    <fill>
      <patternFill patternType="solid">
        <fgColor rgb="FF000099"/>
        <bgColor indexed="64"/>
      </patternFill>
    </fill>
    <fill>
      <patternFill patternType="solid">
        <fgColor rgb="FF8B8585"/>
        <bgColor indexed="64"/>
      </patternFill>
    </fill>
    <fill>
      <patternFill patternType="solid">
        <fgColor rgb="FF9900CC"/>
        <bgColor indexed="64"/>
      </patternFill>
    </fill>
    <fill>
      <patternFill patternType="solid">
        <fgColor rgb="FFFF00FF"/>
        <bgColor indexed="64"/>
      </patternFill>
    </fill>
    <fill>
      <patternFill patternType="solid">
        <fgColor rgb="FFD19FFF"/>
        <bgColor indexed="64"/>
      </patternFill>
    </fill>
    <fill>
      <patternFill patternType="solid">
        <fgColor theme="7" tint="0.79998168889431442"/>
        <bgColor indexed="64"/>
      </patternFill>
    </fill>
    <fill>
      <patternFill patternType="solid">
        <fgColor rgb="FFDDEBF7"/>
        <bgColor indexed="64"/>
      </patternFill>
    </fill>
    <fill>
      <patternFill patternType="solid">
        <fgColor rgb="FFD6F4FE"/>
        <bgColor indexed="64"/>
      </patternFill>
    </fill>
    <fill>
      <patternFill patternType="solid">
        <fgColor rgb="FFFFF2CC"/>
        <bgColor indexed="64"/>
      </patternFill>
    </fill>
    <fill>
      <patternFill patternType="solid">
        <fgColor rgb="FFFFFFFF"/>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rgb="FFFFE699"/>
        <bgColor indexed="64"/>
      </patternFill>
    </fill>
    <fill>
      <patternFill patternType="solid">
        <fgColor rgb="FFBDD7EE"/>
        <bgColor indexed="64"/>
      </patternFill>
    </fill>
    <fill>
      <patternFill patternType="solid">
        <fgColor rgb="FFC6E0B4"/>
        <bgColor indexed="64"/>
      </patternFill>
    </fill>
    <fill>
      <patternFill patternType="solid">
        <fgColor rgb="FFD0CECE"/>
        <bgColor indexed="64"/>
      </patternFill>
    </fill>
    <fill>
      <patternFill patternType="solid">
        <fgColor theme="0" tint="-0.14999847407452621"/>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ck">
        <color indexed="64"/>
      </right>
      <top style="medium">
        <color indexed="64"/>
      </top>
      <bottom/>
      <diagonal/>
    </border>
    <border>
      <left/>
      <right style="thick">
        <color indexed="64"/>
      </right>
      <top/>
      <bottom/>
      <diagonal/>
    </border>
    <border>
      <left/>
      <right style="thick">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s>
  <cellStyleXfs count="5">
    <xf numFmtId="0" fontId="0" fillId="0" borderId="0"/>
    <xf numFmtId="9" fontId="2" fillId="0" borderId="0" applyFont="0" applyFill="0" applyBorder="0" applyAlignment="0" applyProtection="0"/>
    <xf numFmtId="0" fontId="10" fillId="0" borderId="0"/>
    <xf numFmtId="0" fontId="10" fillId="0" borderId="0"/>
    <xf numFmtId="0" fontId="13" fillId="0" borderId="0" applyNumberFormat="0" applyFill="0" applyBorder="0" applyAlignment="0" applyProtection="0"/>
  </cellStyleXfs>
  <cellXfs count="484">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4" fillId="2" borderId="0" xfId="0" applyFont="1" applyFill="1"/>
    <xf numFmtId="0" fontId="0" fillId="2" borderId="0" xfId="0" applyFill="1" applyAlignment="1">
      <alignment horizontal="center" wrapText="1"/>
    </xf>
    <xf numFmtId="0" fontId="0" fillId="2" borderId="0" xfId="0" applyFill="1" applyAlignment="1">
      <alignment vertical="center"/>
    </xf>
    <xf numFmtId="2" fontId="0" fillId="0" borderId="0" xfId="0" applyNumberFormat="1"/>
    <xf numFmtId="164" fontId="0" fillId="0" borderId="0" xfId="0" applyNumberFormat="1"/>
    <xf numFmtId="0" fontId="0" fillId="0" borderId="0" xfId="0" applyAlignment="1">
      <alignment horizontal="center" vertical="center"/>
    </xf>
    <xf numFmtId="9" fontId="3" fillId="0" borderId="0" xfId="1" applyFont="1"/>
    <xf numFmtId="0" fontId="0" fillId="0" borderId="5" xfId="0" applyBorder="1"/>
    <xf numFmtId="0" fontId="0" fillId="0" borderId="8" xfId="0" applyBorder="1"/>
    <xf numFmtId="2" fontId="3" fillId="0" borderId="0" xfId="0" applyNumberFormat="1" applyFont="1" applyAlignment="1">
      <alignment horizontal="center" vertical="center"/>
    </xf>
    <xf numFmtId="0" fontId="5" fillId="0" borderId="0" xfId="0" applyFont="1"/>
    <xf numFmtId="0" fontId="0" fillId="0" borderId="0" xfId="0" applyAlignment="1">
      <alignment horizontal="center"/>
    </xf>
    <xf numFmtId="0" fontId="6" fillId="0" borderId="0" xfId="0" applyFont="1" applyAlignment="1">
      <alignment horizontal="right" vertical="center"/>
    </xf>
    <xf numFmtId="0" fontId="0" fillId="0" borderId="0" xfId="0" applyAlignment="1">
      <alignment vertical="center"/>
    </xf>
    <xf numFmtId="0" fontId="3" fillId="0" borderId="0" xfId="0" applyFont="1"/>
    <xf numFmtId="0" fontId="6" fillId="0" borderId="0" xfId="0" applyFont="1" applyAlignment="1">
      <alignment horizontal="right" wrapText="1"/>
    </xf>
    <xf numFmtId="0" fontId="6" fillId="0" borderId="0" xfId="0" applyFont="1" applyAlignment="1">
      <alignment horizontal="right"/>
    </xf>
    <xf numFmtId="0" fontId="7" fillId="0" borderId="0" xfId="0" applyFont="1" applyAlignment="1">
      <alignment horizontal="right" vertical="center"/>
    </xf>
    <xf numFmtId="0" fontId="8" fillId="0" borderId="0" xfId="0" applyFont="1" applyAlignment="1">
      <alignment horizontal="left" vertical="center" wrapText="1"/>
    </xf>
    <xf numFmtId="0" fontId="6" fillId="0" borderId="0" xfId="0" applyFont="1" applyAlignment="1">
      <alignment horizontal="right" vertical="center" wrapText="1"/>
    </xf>
    <xf numFmtId="0" fontId="8" fillId="0" borderId="0" xfId="0" applyFont="1" applyAlignment="1">
      <alignment horizontal="left" vertical="top" wrapText="1"/>
    </xf>
    <xf numFmtId="9" fontId="0" fillId="0" borderId="0" xfId="0" applyNumberFormat="1"/>
    <xf numFmtId="0" fontId="0" fillId="2" borderId="2" xfId="0" applyFill="1" applyBorder="1" applyAlignment="1">
      <alignment vertical="center"/>
    </xf>
    <xf numFmtId="0" fontId="0" fillId="0" borderId="4" xfId="0" applyBorder="1"/>
    <xf numFmtId="0" fontId="0" fillId="2" borderId="0" xfId="0" applyFill="1" applyAlignment="1">
      <alignment horizontal="center" vertical="center"/>
    </xf>
    <xf numFmtId="0" fontId="0" fillId="0" borderId="7" xfId="0" applyBorder="1"/>
    <xf numFmtId="0" fontId="9" fillId="2" borderId="0" xfId="0" applyFont="1" applyFill="1" applyAlignment="1">
      <alignment vertical="center"/>
    </xf>
    <xf numFmtId="0" fontId="14" fillId="2" borderId="0" xfId="0" applyFont="1" applyFill="1" applyAlignment="1">
      <alignment vertical="center"/>
    </xf>
    <xf numFmtId="0" fontId="16" fillId="0" borderId="0" xfId="0" applyFont="1"/>
    <xf numFmtId="0" fontId="19" fillId="2" borderId="0" xfId="0" applyFont="1" applyFill="1" applyAlignment="1">
      <alignment vertical="center"/>
    </xf>
    <xf numFmtId="0" fontId="16" fillId="2" borderId="0" xfId="0" applyFont="1" applyFill="1"/>
    <xf numFmtId="0" fontId="16" fillId="2" borderId="1" xfId="0" applyFont="1" applyFill="1" applyBorder="1"/>
    <xf numFmtId="0" fontId="16" fillId="2" borderId="2" xfId="0" applyFont="1" applyFill="1" applyBorder="1"/>
    <xf numFmtId="0" fontId="16" fillId="2" borderId="3" xfId="0" applyFont="1" applyFill="1" applyBorder="1"/>
    <xf numFmtId="0" fontId="16" fillId="2" borderId="4" xfId="0" applyFont="1" applyFill="1" applyBorder="1"/>
    <xf numFmtId="0" fontId="16" fillId="2" borderId="5" xfId="0" applyFont="1" applyFill="1" applyBorder="1"/>
    <xf numFmtId="49" fontId="20" fillId="2" borderId="0" xfId="0" applyNumberFormat="1" applyFont="1" applyFill="1" applyAlignment="1">
      <alignment vertical="center"/>
    </xf>
    <xf numFmtId="0" fontId="20" fillId="2" borderId="0" xfId="0" applyFont="1" applyFill="1" applyAlignment="1">
      <alignment vertical="center"/>
    </xf>
    <xf numFmtId="0" fontId="16" fillId="2" borderId="6" xfId="0" applyFont="1" applyFill="1" applyBorder="1"/>
    <xf numFmtId="0" fontId="16" fillId="2" borderId="7" xfId="0" applyFont="1" applyFill="1" applyBorder="1"/>
    <xf numFmtId="0" fontId="16" fillId="2" borderId="8" xfId="0" applyFont="1" applyFill="1" applyBorder="1"/>
    <xf numFmtId="0" fontId="16" fillId="2" borderId="0" xfId="0" applyFont="1" applyFill="1" applyAlignment="1">
      <alignment wrapText="1"/>
    </xf>
    <xf numFmtId="0" fontId="16" fillId="2" borderId="0" xfId="0" applyFont="1" applyFill="1" applyAlignment="1">
      <alignment horizontal="center" wrapText="1"/>
    </xf>
    <xf numFmtId="0" fontId="17" fillId="2" borderId="0" xfId="0" applyFont="1" applyFill="1"/>
    <xf numFmtId="0" fontId="16" fillId="2" borderId="7" xfId="0" applyFont="1" applyFill="1" applyBorder="1" applyAlignment="1">
      <alignment vertical="center"/>
    </xf>
    <xf numFmtId="2" fontId="16" fillId="2" borderId="0" xfId="0" applyNumberFormat="1" applyFont="1" applyFill="1"/>
    <xf numFmtId="2" fontId="16" fillId="2" borderId="7" xfId="0" applyNumberFormat="1" applyFont="1" applyFill="1" applyBorder="1"/>
    <xf numFmtId="9" fontId="15" fillId="2" borderId="0" xfId="0" applyNumberFormat="1" applyFont="1" applyFill="1"/>
    <xf numFmtId="9" fontId="15" fillId="2" borderId="0" xfId="1" applyFont="1" applyFill="1" applyBorder="1"/>
    <xf numFmtId="0" fontId="16" fillId="31" borderId="0" xfId="0" applyFont="1" applyFill="1"/>
    <xf numFmtId="2" fontId="16" fillId="31" borderId="5" xfId="0" applyNumberFormat="1" applyFont="1" applyFill="1" applyBorder="1" applyAlignment="1">
      <alignment horizontal="center"/>
    </xf>
    <xf numFmtId="164" fontId="16" fillId="31" borderId="5" xfId="0" applyNumberFormat="1" applyFont="1" applyFill="1" applyBorder="1" applyAlignment="1">
      <alignment horizontal="center"/>
    </xf>
    <xf numFmtId="2" fontId="16" fillId="31" borderId="0" xfId="0" applyNumberFormat="1" applyFont="1" applyFill="1"/>
    <xf numFmtId="2" fontId="16" fillId="31" borderId="5" xfId="0" applyNumberFormat="1" applyFont="1" applyFill="1" applyBorder="1" applyAlignment="1">
      <alignment horizontal="center" vertical="center"/>
    </xf>
    <xf numFmtId="0" fontId="20" fillId="0" borderId="0" xfId="0" applyFont="1" applyAlignment="1">
      <alignment vertical="center"/>
    </xf>
    <xf numFmtId="49" fontId="20" fillId="2" borderId="0" xfId="0" applyNumberFormat="1" applyFont="1" applyFill="1" applyAlignment="1">
      <alignment horizontal="right" vertical="center"/>
    </xf>
    <xf numFmtId="0" fontId="20" fillId="2" borderId="0" xfId="0" applyFont="1" applyFill="1" applyAlignment="1">
      <alignment vertical="center" wrapText="1"/>
    </xf>
    <xf numFmtId="0" fontId="18" fillId="0" borderId="0" xfId="0" applyFont="1" applyAlignment="1">
      <alignment vertical="center"/>
    </xf>
    <xf numFmtId="0" fontId="19" fillId="0" borderId="0" xfId="0" applyFont="1"/>
    <xf numFmtId="0" fontId="18" fillId="2" borderId="5" xfId="0" applyFont="1" applyFill="1" applyBorder="1" applyAlignment="1">
      <alignment vertical="center"/>
    </xf>
    <xf numFmtId="0" fontId="12" fillId="0" borderId="0" xfId="0" applyFont="1" applyAlignment="1">
      <alignment wrapText="1"/>
    </xf>
    <xf numFmtId="0" fontId="15" fillId="0" borderId="0" xfId="0" applyFont="1"/>
    <xf numFmtId="0" fontId="16" fillId="0" borderId="0" xfId="0" applyFont="1" applyAlignment="1">
      <alignment horizontal="center" wrapText="1"/>
    </xf>
    <xf numFmtId="0" fontId="16" fillId="0" borderId="0" xfId="0" applyFont="1" applyAlignment="1">
      <alignment wrapText="1"/>
    </xf>
    <xf numFmtId="0" fontId="15" fillId="0" borderId="0" xfId="0" applyFont="1" applyAlignment="1">
      <alignment wrapText="1"/>
    </xf>
    <xf numFmtId="0" fontId="16" fillId="0" borderId="26" xfId="2" applyFont="1" applyBorder="1" applyAlignment="1">
      <alignment horizontal="left" vertical="center"/>
    </xf>
    <xf numFmtId="2" fontId="21" fillId="0" borderId="9" xfId="0" applyNumberFormat="1" applyFont="1" applyBorder="1" applyAlignment="1">
      <alignment horizontal="center"/>
    </xf>
    <xf numFmtId="0" fontId="16" fillId="2" borderId="17" xfId="0" applyFont="1" applyFill="1" applyBorder="1"/>
    <xf numFmtId="2" fontId="16" fillId="2" borderId="21" xfId="0" applyNumberFormat="1" applyFont="1" applyFill="1" applyBorder="1"/>
    <xf numFmtId="0" fontId="21" fillId="0" borderId="0" xfId="0" applyFont="1"/>
    <xf numFmtId="0" fontId="16" fillId="0" borderId="9" xfId="2" applyFont="1" applyBorder="1" applyAlignment="1">
      <alignment horizontal="left" vertical="center"/>
    </xf>
    <xf numFmtId="0" fontId="16" fillId="0" borderId="9" xfId="0" applyFont="1" applyBorder="1" applyAlignment="1">
      <alignment horizontal="left" vertical="center"/>
    </xf>
    <xf numFmtId="2" fontId="16" fillId="0" borderId="0" xfId="0" applyNumberFormat="1" applyFont="1"/>
    <xf numFmtId="0" fontId="16" fillId="0" borderId="9" xfId="0" applyFont="1" applyBorder="1"/>
    <xf numFmtId="2" fontId="16" fillId="2" borderId="21" xfId="0" applyNumberFormat="1" applyFont="1" applyFill="1" applyBorder="1" applyProtection="1">
      <protection locked="0"/>
    </xf>
    <xf numFmtId="0" fontId="15" fillId="0" borderId="20" xfId="0" applyFont="1" applyBorder="1"/>
    <xf numFmtId="0" fontId="15" fillId="0" borderId="28" xfId="0" applyFont="1" applyBorder="1"/>
    <xf numFmtId="0" fontId="16" fillId="0" borderId="12" xfId="0" applyFont="1" applyBorder="1"/>
    <xf numFmtId="0" fontId="16" fillId="0" borderId="10" xfId="0" applyFont="1" applyBorder="1"/>
    <xf numFmtId="0" fontId="16" fillId="0" borderId="15" xfId="0" applyFont="1" applyBorder="1"/>
    <xf numFmtId="165" fontId="16" fillId="0" borderId="0" xfId="0" applyNumberFormat="1" applyFont="1" applyAlignment="1">
      <alignment horizontal="left"/>
    </xf>
    <xf numFmtId="0" fontId="15" fillId="2" borderId="7" xfId="0" applyFont="1" applyFill="1" applyBorder="1" applyAlignment="1">
      <alignment horizontal="left" vertical="center"/>
    </xf>
    <xf numFmtId="2" fontId="16" fillId="2" borderId="5" xfId="0" applyNumberFormat="1" applyFont="1" applyFill="1" applyBorder="1" applyAlignment="1">
      <alignment horizontal="center"/>
    </xf>
    <xf numFmtId="2" fontId="0" fillId="0" borderId="0" xfId="0" applyNumberFormat="1" applyAlignment="1">
      <alignment wrapText="1"/>
    </xf>
    <xf numFmtId="2" fontId="16" fillId="0" borderId="0" xfId="0" applyNumberFormat="1" applyFont="1" applyAlignment="1">
      <alignment vertical="center"/>
    </xf>
    <xf numFmtId="2" fontId="16" fillId="0" borderId="21" xfId="0" applyNumberFormat="1" applyFont="1" applyBorder="1"/>
    <xf numFmtId="0" fontId="16" fillId="0" borderId="17" xfId="0" applyFont="1" applyBorder="1"/>
    <xf numFmtId="0" fontId="16" fillId="0" borderId="7" xfId="0" applyFont="1" applyBorder="1" applyAlignment="1">
      <alignment wrapText="1"/>
    </xf>
    <xf numFmtId="2" fontId="21" fillId="2" borderId="28" xfId="0" applyNumberFormat="1" applyFont="1" applyFill="1" applyBorder="1" applyAlignment="1">
      <alignment horizontal="left"/>
    </xf>
    <xf numFmtId="2" fontId="21" fillId="2" borderId="9" xfId="0" applyNumberFormat="1" applyFont="1" applyFill="1" applyBorder="1" applyAlignment="1">
      <alignment horizontal="left"/>
    </xf>
    <xf numFmtId="0" fontId="16" fillId="0" borderId="0" xfId="0" applyFont="1" applyAlignment="1">
      <alignment horizontal="left" vertical="center"/>
    </xf>
    <xf numFmtId="0" fontId="20" fillId="2" borderId="0" xfId="0" applyFont="1"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center" vertical="center"/>
    </xf>
    <xf numFmtId="0" fontId="20" fillId="2" borderId="0" xfId="0" applyFont="1" applyFill="1" applyAlignment="1">
      <alignment horizontal="center" vertical="center" wrapText="1"/>
    </xf>
    <xf numFmtId="0" fontId="14" fillId="2" borderId="0" xfId="0" applyFont="1" applyFill="1" applyAlignment="1">
      <alignment horizontal="left" vertical="center"/>
    </xf>
    <xf numFmtId="0" fontId="16" fillId="0" borderId="25" xfId="0" applyFont="1" applyBorder="1" applyAlignment="1">
      <alignment horizontal="left" vertical="center"/>
    </xf>
    <xf numFmtId="0" fontId="16" fillId="0" borderId="26" xfId="0" applyFont="1" applyBorder="1"/>
    <xf numFmtId="2" fontId="16" fillId="2" borderId="37" xfId="0" applyNumberFormat="1" applyFont="1" applyFill="1" applyBorder="1"/>
    <xf numFmtId="0" fontId="16" fillId="0" borderId="35" xfId="0" applyFont="1" applyBorder="1"/>
    <xf numFmtId="0" fontId="16" fillId="0" borderId="38" xfId="0" applyFont="1" applyBorder="1"/>
    <xf numFmtId="2" fontId="16" fillId="2" borderId="26" xfId="0" applyNumberFormat="1" applyFont="1" applyFill="1" applyBorder="1"/>
    <xf numFmtId="2" fontId="16" fillId="2" borderId="12" xfId="0" applyNumberFormat="1" applyFont="1" applyFill="1" applyBorder="1"/>
    <xf numFmtId="0" fontId="16" fillId="0" borderId="42" xfId="0" applyFont="1" applyBorder="1"/>
    <xf numFmtId="0" fontId="16" fillId="0" borderId="43" xfId="0" applyFont="1" applyBorder="1"/>
    <xf numFmtId="0" fontId="16" fillId="0" borderId="7" xfId="0" applyFont="1" applyBorder="1"/>
    <xf numFmtId="0" fontId="20" fillId="33" borderId="0" xfId="0" applyFont="1" applyFill="1" applyAlignment="1">
      <alignment horizontal="left" vertical="center"/>
    </xf>
    <xf numFmtId="0" fontId="20" fillId="31" borderId="0" xfId="0" applyFont="1" applyFill="1" applyAlignment="1">
      <alignment horizontal="left" vertical="center"/>
    </xf>
    <xf numFmtId="0" fontId="14" fillId="2" borderId="0" xfId="0" applyFont="1" applyFill="1" applyAlignment="1">
      <alignment vertical="center" wrapText="1"/>
    </xf>
    <xf numFmtId="0" fontId="14" fillId="2" borderId="0" xfId="0" applyFont="1" applyFill="1" applyAlignment="1">
      <alignment horizontal="left" vertical="center" wrapText="1"/>
    </xf>
    <xf numFmtId="0" fontId="20" fillId="7" borderId="0" xfId="0" applyFont="1" applyFill="1" applyAlignment="1">
      <alignment horizontal="left" vertical="center" wrapText="1"/>
    </xf>
    <xf numFmtId="0" fontId="20" fillId="5" borderId="0" xfId="0" applyFont="1" applyFill="1" applyAlignment="1">
      <alignment horizontal="left" vertical="center" wrapText="1"/>
    </xf>
    <xf numFmtId="0" fontId="20" fillId="20" borderId="0" xfId="0" applyFont="1" applyFill="1" applyAlignment="1">
      <alignment horizontal="left" vertical="center" wrapText="1"/>
    </xf>
    <xf numFmtId="0" fontId="20" fillId="8" borderId="0" xfId="0" applyFont="1" applyFill="1" applyAlignment="1">
      <alignment horizontal="left" vertical="center" wrapText="1"/>
    </xf>
    <xf numFmtId="0" fontId="20" fillId="6" borderId="0" xfId="0" applyFont="1" applyFill="1" applyAlignment="1">
      <alignment horizontal="left" vertical="center" wrapText="1"/>
    </xf>
    <xf numFmtId="0" fontId="20" fillId="21" borderId="0" xfId="0" applyFont="1" applyFill="1" applyAlignment="1">
      <alignment horizontal="left" vertical="center" wrapText="1"/>
    </xf>
    <xf numFmtId="0" fontId="20" fillId="9" borderId="0" xfId="0" applyFont="1" applyFill="1" applyAlignment="1">
      <alignment horizontal="left" vertical="center" wrapText="1"/>
    </xf>
    <xf numFmtId="0" fontId="20" fillId="12" borderId="0" xfId="0" applyFont="1" applyFill="1" applyAlignment="1">
      <alignment horizontal="left" vertical="center" wrapText="1"/>
    </xf>
    <xf numFmtId="0" fontId="20" fillId="22" borderId="0" xfId="0" applyFont="1" applyFill="1" applyAlignment="1">
      <alignment horizontal="left" vertical="center" wrapText="1"/>
    </xf>
    <xf numFmtId="0" fontId="20" fillId="10" borderId="0" xfId="0" applyFont="1" applyFill="1" applyAlignment="1">
      <alignment horizontal="left" vertical="center" wrapText="1"/>
    </xf>
    <xf numFmtId="0" fontId="20" fillId="13" borderId="0" xfId="0" applyFont="1" applyFill="1" applyAlignment="1">
      <alignment horizontal="left" vertical="center" wrapText="1"/>
    </xf>
    <xf numFmtId="0" fontId="20" fillId="11" borderId="0" xfId="0" applyFont="1" applyFill="1" applyAlignment="1">
      <alignment horizontal="left" vertical="center" wrapText="1"/>
    </xf>
    <xf numFmtId="0" fontId="20" fillId="4" borderId="0" xfId="0" applyFont="1" applyFill="1" applyAlignment="1">
      <alignment vertical="center"/>
    </xf>
    <xf numFmtId="0" fontId="20" fillId="18" borderId="0" xfId="0" applyFont="1" applyFill="1" applyAlignment="1">
      <alignment horizontal="left" vertical="center" wrapText="1"/>
    </xf>
    <xf numFmtId="0" fontId="20" fillId="19" borderId="0" xfId="0" applyFont="1" applyFill="1" applyAlignment="1">
      <alignment horizontal="left" vertical="center" wrapText="1"/>
    </xf>
    <xf numFmtId="0" fontId="20" fillId="14" borderId="0" xfId="0" applyFont="1" applyFill="1" applyAlignment="1">
      <alignment horizontal="left" vertical="center" wrapText="1"/>
    </xf>
    <xf numFmtId="0" fontId="20" fillId="23" borderId="0" xfId="0" applyFont="1" applyFill="1" applyAlignment="1">
      <alignment horizontal="left" vertical="center" wrapText="1"/>
    </xf>
    <xf numFmtId="0" fontId="20" fillId="15" borderId="0" xfId="0" applyFont="1" applyFill="1" applyAlignment="1">
      <alignment horizontal="left" vertical="center" wrapText="1"/>
    </xf>
    <xf numFmtId="0" fontId="20" fillId="24" borderId="0" xfId="0" applyFont="1" applyFill="1" applyAlignment="1">
      <alignment horizontal="left" vertical="center" wrapText="1"/>
    </xf>
    <xf numFmtId="0" fontId="20" fillId="16" borderId="0" xfId="0" applyFont="1" applyFill="1" applyAlignment="1">
      <alignment horizontal="left" vertical="center" wrapText="1"/>
    </xf>
    <xf numFmtId="0" fontId="20" fillId="25" borderId="0" xfId="0" applyFont="1" applyFill="1" applyAlignment="1">
      <alignment horizontal="left" vertical="center" wrapText="1"/>
    </xf>
    <xf numFmtId="0" fontId="20" fillId="17" borderId="0" xfId="0" applyFont="1" applyFill="1" applyAlignment="1">
      <alignment horizontal="left" vertical="center" wrapText="1"/>
    </xf>
    <xf numFmtId="0" fontId="20" fillId="26" borderId="0" xfId="0" applyFont="1" applyFill="1" applyAlignment="1">
      <alignment horizontal="left" vertical="center" wrapText="1"/>
    </xf>
    <xf numFmtId="0" fontId="20" fillId="27" borderId="0" xfId="0" applyFont="1" applyFill="1" applyAlignment="1">
      <alignment horizontal="left" vertical="center" wrapText="1"/>
    </xf>
    <xf numFmtId="0" fontId="20" fillId="2" borderId="17" xfId="0" applyFont="1" applyFill="1" applyBorder="1" applyAlignment="1">
      <alignment horizontal="left" vertical="center" wrapText="1"/>
    </xf>
    <xf numFmtId="0" fontId="20" fillId="28" borderId="0" xfId="0" applyFont="1" applyFill="1" applyAlignment="1">
      <alignment horizontal="left" vertical="center" wrapText="1"/>
    </xf>
    <xf numFmtId="0" fontId="20" fillId="29" borderId="0" xfId="0" applyFont="1" applyFill="1" applyAlignment="1">
      <alignment horizontal="left" vertical="center" wrapText="1"/>
    </xf>
    <xf numFmtId="0" fontId="20" fillId="30" borderId="0" xfId="0" applyFont="1" applyFill="1" applyAlignment="1">
      <alignment horizontal="left" vertical="center" wrapText="1"/>
    </xf>
    <xf numFmtId="0" fontId="5" fillId="2" borderId="0" xfId="0" applyFont="1" applyFill="1"/>
    <xf numFmtId="0" fontId="20" fillId="2" borderId="0" xfId="0" applyFont="1" applyFill="1"/>
    <xf numFmtId="0" fontId="22" fillId="2" borderId="0" xfId="0" applyFont="1" applyFill="1" applyAlignment="1">
      <alignment horizontal="left" vertical="top" indent="2"/>
    </xf>
    <xf numFmtId="0" fontId="20" fillId="0" borderId="0" xfId="0" applyFont="1"/>
    <xf numFmtId="0" fontId="14" fillId="2" borderId="0" xfId="0" applyFont="1" applyFill="1"/>
    <xf numFmtId="0" fontId="20" fillId="2" borderId="0" xfId="0" applyFont="1" applyFill="1" applyAlignment="1">
      <alignment horizontal="center"/>
    </xf>
    <xf numFmtId="0" fontId="14" fillId="2" borderId="9" xfId="0" applyFont="1" applyFill="1" applyBorder="1" applyProtection="1">
      <protection locked="0"/>
    </xf>
    <xf numFmtId="0" fontId="20" fillId="2" borderId="4" xfId="0" applyFont="1" applyFill="1" applyBorder="1"/>
    <xf numFmtId="0" fontId="14" fillId="2" borderId="0" xfId="0" applyFont="1" applyFill="1" applyAlignment="1">
      <alignment horizontal="center" vertical="center" wrapText="1"/>
    </xf>
    <xf numFmtId="0" fontId="20" fillId="2" borderId="5" xfId="0" applyFont="1" applyFill="1" applyBorder="1"/>
    <xf numFmtId="0" fontId="26" fillId="2" borderId="0" xfId="0" applyFont="1" applyFill="1" applyAlignment="1">
      <alignment horizontal="left" vertical="top" wrapText="1"/>
    </xf>
    <xf numFmtId="0" fontId="26" fillId="2" borderId="0" xfId="0" applyFont="1" applyFill="1" applyAlignment="1">
      <alignment horizontal="left" vertical="center" wrapText="1"/>
    </xf>
    <xf numFmtId="0" fontId="20" fillId="33" borderId="0" xfId="0" applyFont="1" applyFill="1" applyAlignment="1" applyProtection="1">
      <alignment horizontal="center" vertical="center"/>
      <protection locked="0"/>
    </xf>
    <xf numFmtId="0" fontId="20" fillId="2" borderId="0" xfId="0" applyFont="1" applyFill="1" applyAlignment="1">
      <alignment horizontal="right" vertical="center"/>
    </xf>
    <xf numFmtId="0" fontId="20" fillId="0" borderId="0" xfId="0" applyFont="1" applyAlignment="1">
      <alignment horizontal="center" vertical="center"/>
    </xf>
    <xf numFmtId="0" fontId="28" fillId="2" borderId="0" xfId="0" applyFont="1" applyFill="1" applyAlignment="1">
      <alignment vertical="center"/>
    </xf>
    <xf numFmtId="0" fontId="20" fillId="31" borderId="0" xfId="0" applyFont="1" applyFill="1" applyAlignment="1">
      <alignment horizontal="center" vertical="center"/>
    </xf>
    <xf numFmtId="0" fontId="20" fillId="2" borderId="0" xfId="0" applyFont="1" applyFill="1" applyAlignment="1">
      <alignment horizontal="right" vertical="center" wrapText="1"/>
    </xf>
    <xf numFmtId="1" fontId="14" fillId="2" borderId="0" xfId="0" applyNumberFormat="1" applyFont="1" applyFill="1" applyAlignment="1">
      <alignment horizontal="center" vertical="center"/>
    </xf>
    <xf numFmtId="0" fontId="14" fillId="2" borderId="0" xfId="0" applyFont="1" applyFill="1" applyAlignment="1">
      <alignment horizontal="right" vertical="center"/>
    </xf>
    <xf numFmtId="0" fontId="20" fillId="2" borderId="19" xfId="0" applyFont="1" applyFill="1" applyBorder="1" applyAlignment="1">
      <alignment vertical="center"/>
    </xf>
    <xf numFmtId="0" fontId="14" fillId="2" borderId="19" xfId="0" applyFont="1" applyFill="1" applyBorder="1" applyAlignment="1">
      <alignment horizontal="left" vertical="center" wrapText="1"/>
    </xf>
    <xf numFmtId="1" fontId="14" fillId="2" borderId="19" xfId="0" applyNumberFormat="1" applyFont="1" applyFill="1" applyBorder="1" applyAlignment="1">
      <alignment horizontal="center" vertical="center"/>
    </xf>
    <xf numFmtId="0" fontId="14" fillId="2" borderId="19" xfId="0" applyFont="1" applyFill="1" applyBorder="1" applyAlignment="1">
      <alignment horizontal="right" vertical="center"/>
    </xf>
    <xf numFmtId="1" fontId="14" fillId="31" borderId="0" xfId="0" applyNumberFormat="1" applyFont="1" applyFill="1" applyAlignment="1" applyProtection="1">
      <alignment horizontal="center" vertical="center"/>
      <protection locked="0"/>
    </xf>
    <xf numFmtId="0" fontId="20" fillId="0" borderId="7" xfId="0" applyFont="1" applyBorder="1"/>
    <xf numFmtId="0" fontId="20" fillId="0" borderId="8" xfId="0" applyFont="1" applyBorder="1"/>
    <xf numFmtId="0" fontId="26" fillId="2" borderId="0" xfId="0" applyFont="1" applyFill="1" applyAlignment="1">
      <alignment vertical="center" wrapText="1"/>
    </xf>
    <xf numFmtId="0" fontId="26" fillId="2" borderId="0" xfId="0" applyFont="1" applyFill="1" applyAlignment="1">
      <alignment vertical="top" wrapText="1"/>
    </xf>
    <xf numFmtId="0" fontId="20" fillId="0" borderId="7" xfId="0" applyFont="1" applyBorder="1" applyAlignment="1">
      <alignment horizontal="center" vertical="center"/>
    </xf>
    <xf numFmtId="0" fontId="20" fillId="33" borderId="0" xfId="0" applyFont="1" applyFill="1" applyAlignment="1" applyProtection="1">
      <alignment horizontal="center" vertical="center" wrapText="1"/>
      <protection locked="0"/>
    </xf>
    <xf numFmtId="0" fontId="20" fillId="2" borderId="17" xfId="0" applyFont="1" applyFill="1" applyBorder="1" applyAlignment="1">
      <alignment vertical="center"/>
    </xf>
    <xf numFmtId="0" fontId="20" fillId="2" borderId="14" xfId="0" applyFont="1" applyFill="1" applyBorder="1" applyAlignment="1">
      <alignment vertical="center"/>
    </xf>
    <xf numFmtId="0" fontId="20" fillId="33" borderId="0" xfId="0" applyFont="1" applyFill="1" applyAlignment="1" applyProtection="1">
      <alignment vertical="center"/>
      <protection locked="0"/>
    </xf>
    <xf numFmtId="1" fontId="20" fillId="33" borderId="0" xfId="0" applyNumberFormat="1" applyFont="1" applyFill="1" applyAlignment="1" applyProtection="1">
      <alignment horizontal="center" vertical="center"/>
      <protection locked="0"/>
    </xf>
    <xf numFmtId="2" fontId="20" fillId="2" borderId="0" xfId="0" applyNumberFormat="1" applyFont="1" applyFill="1" applyAlignment="1">
      <alignment horizontal="center" vertical="center"/>
    </xf>
    <xf numFmtId="1" fontId="20" fillId="2" borderId="0" xfId="0" applyNumberFormat="1" applyFont="1" applyFill="1" applyAlignment="1">
      <alignment vertical="center"/>
    </xf>
    <xf numFmtId="2" fontId="20" fillId="34" borderId="0" xfId="0" applyNumberFormat="1" applyFont="1" applyFill="1" applyAlignment="1">
      <alignment horizontal="center" vertical="center"/>
    </xf>
    <xf numFmtId="2" fontId="20" fillId="34" borderId="0" xfId="0" applyNumberFormat="1" applyFont="1" applyFill="1" applyAlignment="1">
      <alignment horizontal="center" vertical="center" wrapText="1"/>
    </xf>
    <xf numFmtId="2" fontId="20" fillId="31" borderId="0" xfId="0" applyNumberFormat="1" applyFont="1" applyFill="1" applyAlignment="1">
      <alignment horizontal="center" vertical="center"/>
    </xf>
    <xf numFmtId="2" fontId="14" fillId="2" borderId="0" xfId="0" applyNumberFormat="1" applyFont="1" applyFill="1" applyAlignment="1">
      <alignment horizontal="center" vertical="center"/>
    </xf>
    <xf numFmtId="0" fontId="26" fillId="2" borderId="19" xfId="0" applyFont="1" applyFill="1" applyBorder="1" applyAlignment="1">
      <alignment horizontal="left" vertical="center" wrapText="1"/>
    </xf>
    <xf numFmtId="0" fontId="20" fillId="2" borderId="7" xfId="0" applyFont="1" applyFill="1" applyBorder="1"/>
    <xf numFmtId="0" fontId="20" fillId="2" borderId="14" xfId="0" applyFont="1" applyFill="1" applyBorder="1"/>
    <xf numFmtId="2" fontId="14" fillId="31" borderId="0" xfId="0" applyNumberFormat="1" applyFont="1" applyFill="1" applyAlignment="1">
      <alignment horizontal="center" vertical="center"/>
    </xf>
    <xf numFmtId="0" fontId="20" fillId="2" borderId="6" xfId="0" applyFont="1" applyFill="1" applyBorder="1"/>
    <xf numFmtId="0" fontId="20" fillId="2" borderId="8" xfId="0" applyFont="1" applyFill="1" applyBorder="1"/>
    <xf numFmtId="0" fontId="20" fillId="2" borderId="0" xfId="0" applyFont="1" applyFill="1" applyAlignment="1">
      <alignment wrapText="1"/>
    </xf>
    <xf numFmtId="0" fontId="20" fillId="2" borderId="0" xfId="0" applyFont="1" applyFill="1" applyAlignment="1">
      <alignment horizontal="center" wrapText="1"/>
    </xf>
    <xf numFmtId="0" fontId="26" fillId="2" borderId="14" xfId="0" applyFont="1" applyFill="1" applyBorder="1" applyAlignment="1">
      <alignment horizontal="left" vertical="center" wrapText="1"/>
    </xf>
    <xf numFmtId="0" fontId="14" fillId="2" borderId="0" xfId="0" applyFont="1" applyFill="1" applyAlignment="1">
      <alignment horizontal="center" vertical="center"/>
    </xf>
    <xf numFmtId="166" fontId="20" fillId="33" borderId="0" xfId="0" applyNumberFormat="1" applyFont="1" applyFill="1" applyAlignment="1" applyProtection="1">
      <alignment horizontal="center" vertical="center"/>
      <protection locked="0"/>
    </xf>
    <xf numFmtId="2" fontId="20" fillId="35" borderId="0" xfId="0" applyNumberFormat="1" applyFont="1" applyFill="1" applyAlignment="1">
      <alignment vertical="center"/>
    </xf>
    <xf numFmtId="2" fontId="20" fillId="35" borderId="0" xfId="0" applyNumberFormat="1" applyFont="1" applyFill="1"/>
    <xf numFmtId="2" fontId="20" fillId="34" borderId="0" xfId="0" applyNumberFormat="1" applyFont="1" applyFill="1"/>
    <xf numFmtId="166" fontId="14" fillId="31" borderId="0" xfId="0" applyNumberFormat="1" applyFont="1" applyFill="1" applyAlignment="1">
      <alignment horizontal="center" vertical="center"/>
    </xf>
    <xf numFmtId="2" fontId="14" fillId="34" borderId="0" xfId="0" applyNumberFormat="1" applyFont="1" applyFill="1" applyAlignment="1">
      <alignment horizontal="center" vertical="center"/>
    </xf>
    <xf numFmtId="0" fontId="20" fillId="2" borderId="0" xfId="0" applyFont="1" applyFill="1" applyAlignment="1">
      <alignment horizontal="right"/>
    </xf>
    <xf numFmtId="2" fontId="14" fillId="31" borderId="0" xfId="0" applyNumberFormat="1" applyFont="1" applyFill="1" applyAlignment="1">
      <alignment horizontal="center" vertical="center" wrapText="1"/>
    </xf>
    <xf numFmtId="0" fontId="5" fillId="2" borderId="7" xfId="0" applyFont="1" applyFill="1" applyBorder="1"/>
    <xf numFmtId="0" fontId="5" fillId="2" borderId="5" xfId="0" applyFont="1" applyFill="1" applyBorder="1"/>
    <xf numFmtId="0" fontId="20" fillId="3" borderId="0" xfId="0" applyFont="1" applyFill="1" applyAlignment="1">
      <alignment horizontal="left" vertical="center"/>
    </xf>
    <xf numFmtId="0" fontId="20" fillId="3" borderId="0" xfId="0" applyFont="1" applyFill="1" applyAlignment="1">
      <alignment horizontal="right" vertical="center"/>
    </xf>
    <xf numFmtId="0" fontId="20" fillId="3" borderId="0" xfId="0" applyFont="1" applyFill="1" applyAlignment="1">
      <alignment horizontal="right" vertical="center" wrapText="1"/>
    </xf>
    <xf numFmtId="2" fontId="20" fillId="3" borderId="0" xfId="0" applyNumberFormat="1" applyFont="1" applyFill="1" applyAlignment="1">
      <alignment horizontal="right" vertical="center"/>
    </xf>
    <xf numFmtId="2" fontId="14" fillId="35" borderId="0" xfId="0" applyNumberFormat="1" applyFont="1" applyFill="1" applyAlignment="1">
      <alignment horizontal="center" vertical="center"/>
    </xf>
    <xf numFmtId="0" fontId="20" fillId="32" borderId="0" xfId="0" applyFont="1" applyFill="1" applyAlignment="1">
      <alignment horizontal="left" vertical="center"/>
    </xf>
    <xf numFmtId="2" fontId="20" fillId="32" borderId="0" xfId="0" applyNumberFormat="1" applyFont="1" applyFill="1" applyAlignment="1">
      <alignment horizontal="right" vertical="center"/>
    </xf>
    <xf numFmtId="2" fontId="14" fillId="0" borderId="0" xfId="0" applyNumberFormat="1" applyFont="1" applyAlignment="1">
      <alignment horizontal="center" vertical="center"/>
    </xf>
    <xf numFmtId="0" fontId="26" fillId="2" borderId="0" xfId="0" applyFont="1" applyFill="1" applyAlignment="1">
      <alignment horizontal="left" vertical="center"/>
    </xf>
    <xf numFmtId="0" fontId="5" fillId="2" borderId="8" xfId="0" applyFont="1" applyFill="1" applyBorder="1"/>
    <xf numFmtId="0" fontId="20" fillId="2" borderId="2" xfId="0" applyFont="1" applyFill="1" applyBorder="1"/>
    <xf numFmtId="0" fontId="20" fillId="2" borderId="3" xfId="0" applyFont="1" applyFill="1" applyBorder="1"/>
    <xf numFmtId="0" fontId="20" fillId="0" borderId="6" xfId="0" applyFont="1" applyBorder="1"/>
    <xf numFmtId="0" fontId="20" fillId="2" borderId="22" xfId="0" applyFont="1" applyFill="1" applyBorder="1"/>
    <xf numFmtId="0" fontId="20" fillId="2" borderId="23" xfId="0" applyFont="1" applyFill="1" applyBorder="1" applyAlignment="1">
      <alignment vertical="center"/>
    </xf>
    <xf numFmtId="0" fontId="26" fillId="2" borderId="0" xfId="0" applyFont="1" applyFill="1" applyAlignment="1">
      <alignment horizontal="center" vertical="center" wrapText="1"/>
    </xf>
    <xf numFmtId="166" fontId="14" fillId="34" borderId="0" xfId="0" applyNumberFormat="1" applyFont="1" applyFill="1" applyAlignment="1">
      <alignment horizontal="center" vertical="center"/>
    </xf>
    <xf numFmtId="2" fontId="14" fillId="2" borderId="0" xfId="0" applyNumberFormat="1" applyFont="1" applyFill="1" applyAlignment="1">
      <alignment vertical="center"/>
    </xf>
    <xf numFmtId="0" fontId="20" fillId="2" borderId="19" xfId="0" applyFont="1" applyFill="1" applyBorder="1"/>
    <xf numFmtId="0" fontId="20" fillId="2" borderId="7" xfId="0" applyFont="1" applyFill="1" applyBorder="1" applyAlignment="1">
      <alignment vertical="center"/>
    </xf>
    <xf numFmtId="0" fontId="20" fillId="2" borderId="24" xfId="0" applyFont="1" applyFill="1" applyBorder="1" applyAlignment="1">
      <alignment vertical="center"/>
    </xf>
    <xf numFmtId="0" fontId="20" fillId="2" borderId="5" xfId="0" applyFont="1" applyFill="1" applyBorder="1" applyAlignment="1">
      <alignment vertical="center"/>
    </xf>
    <xf numFmtId="166" fontId="20" fillId="31" borderId="0" xfId="0" applyNumberFormat="1" applyFont="1" applyFill="1" applyAlignment="1">
      <alignment horizontal="center" vertical="center"/>
    </xf>
    <xf numFmtId="166" fontId="20" fillId="2" borderId="0" xfId="0" applyNumberFormat="1" applyFont="1" applyFill="1" applyAlignment="1">
      <alignment horizontal="center" vertical="center"/>
    </xf>
    <xf numFmtId="2" fontId="20" fillId="0" borderId="0" xfId="0" applyNumberFormat="1" applyFont="1" applyAlignment="1">
      <alignment vertical="center"/>
    </xf>
    <xf numFmtId="2" fontId="20" fillId="33" borderId="0" xfId="0" applyNumberFormat="1" applyFont="1" applyFill="1" applyAlignment="1" applyProtection="1">
      <alignment horizontal="center" vertical="center"/>
      <protection locked="0"/>
    </xf>
    <xf numFmtId="2" fontId="20" fillId="2" borderId="0" xfId="0" applyNumberFormat="1" applyFont="1" applyFill="1" applyAlignment="1">
      <alignment horizontal="right" vertical="center"/>
    </xf>
    <xf numFmtId="166" fontId="14" fillId="2" borderId="0" xfId="0" applyNumberFormat="1" applyFont="1" applyFill="1" applyAlignment="1">
      <alignment horizontal="center" vertical="center"/>
    </xf>
    <xf numFmtId="2" fontId="20" fillId="2" borderId="0" xfId="0" applyNumberFormat="1" applyFont="1" applyFill="1" applyAlignment="1">
      <alignment vertical="center"/>
    </xf>
    <xf numFmtId="0" fontId="20" fillId="0" borderId="8" xfId="0" applyFont="1" applyBorder="1" applyAlignment="1">
      <alignment vertical="center"/>
    </xf>
    <xf numFmtId="2" fontId="20" fillId="2" borderId="0" xfId="0" applyNumberFormat="1" applyFont="1" applyFill="1"/>
    <xf numFmtId="0" fontId="20" fillId="2" borderId="2" xfId="0" applyFont="1" applyFill="1" applyBorder="1" applyAlignment="1">
      <alignment vertical="center"/>
    </xf>
    <xf numFmtId="166" fontId="20" fillId="31" borderId="0" xfId="0" applyNumberFormat="1" applyFont="1" applyFill="1" applyAlignment="1">
      <alignment horizontal="center" vertical="center" wrapText="1"/>
    </xf>
    <xf numFmtId="0" fontId="26" fillId="2" borderId="7" xfId="0" applyFont="1" applyFill="1" applyBorder="1" applyAlignment="1">
      <alignment horizontal="left" vertical="center" wrapText="1"/>
    </xf>
    <xf numFmtId="1" fontId="20" fillId="31" borderId="0" xfId="0" applyNumberFormat="1" applyFont="1" applyFill="1" applyAlignment="1">
      <alignment vertical="center"/>
    </xf>
    <xf numFmtId="2" fontId="20" fillId="2" borderId="0" xfId="0" applyNumberFormat="1" applyFont="1" applyFill="1" applyAlignment="1">
      <alignment horizontal="center"/>
    </xf>
    <xf numFmtId="2" fontId="20" fillId="31" borderId="0" xfId="0" applyNumberFormat="1" applyFont="1" applyFill="1" applyAlignment="1">
      <alignment vertical="center"/>
    </xf>
    <xf numFmtId="2" fontId="20" fillId="2" borderId="0" xfId="0" applyNumberFormat="1" applyFont="1" applyFill="1" applyAlignment="1">
      <alignment horizontal="right"/>
    </xf>
    <xf numFmtId="165" fontId="14" fillId="31" borderId="0" xfId="0" applyNumberFormat="1" applyFont="1" applyFill="1" applyAlignment="1">
      <alignment vertical="center"/>
    </xf>
    <xf numFmtId="0" fontId="14" fillId="2" borderId="0" xfId="0" applyFont="1" applyFill="1" applyAlignment="1">
      <alignment horizontal="right"/>
    </xf>
    <xf numFmtId="2" fontId="16" fillId="0" borderId="0" xfId="0" applyNumberFormat="1" applyFont="1" applyAlignment="1">
      <alignment horizontal="center"/>
    </xf>
    <xf numFmtId="165" fontId="21" fillId="0" borderId="0" xfId="0" applyNumberFormat="1" applyFont="1" applyAlignment="1">
      <alignment horizontal="center"/>
    </xf>
    <xf numFmtId="2" fontId="21" fillId="0" borderId="0" xfId="0" applyNumberFormat="1" applyFont="1" applyAlignment="1">
      <alignment horizontal="left"/>
    </xf>
    <xf numFmtId="0" fontId="14" fillId="2" borderId="0" xfId="0" applyFont="1" applyFill="1" applyAlignment="1" applyProtection="1">
      <alignment vertical="center"/>
      <protection locked="0"/>
    </xf>
    <xf numFmtId="1" fontId="14" fillId="34" borderId="0" xfId="0" applyNumberFormat="1" applyFont="1" applyFill="1" applyAlignment="1" applyProtection="1">
      <alignment horizontal="center" vertical="center"/>
      <protection locked="0"/>
    </xf>
    <xf numFmtId="0" fontId="20" fillId="33" borderId="0" xfId="0" applyFont="1" applyFill="1" applyProtection="1">
      <protection locked="0"/>
    </xf>
    <xf numFmtId="0" fontId="16" fillId="0" borderId="13" xfId="0" applyFont="1" applyBorder="1"/>
    <xf numFmtId="0" fontId="15" fillId="0" borderId="9" xfId="0" applyFont="1" applyBorder="1"/>
    <xf numFmtId="2" fontId="16" fillId="0" borderId="9" xfId="0" applyNumberFormat="1" applyFont="1" applyBorder="1"/>
    <xf numFmtId="0" fontId="15" fillId="0" borderId="37" xfId="0" applyFont="1" applyBorder="1"/>
    <xf numFmtId="2" fontId="16" fillId="0" borderId="37" xfId="0" applyNumberFormat="1" applyFont="1" applyBorder="1"/>
    <xf numFmtId="0" fontId="16" fillId="0" borderId="37" xfId="0" applyFont="1" applyBorder="1"/>
    <xf numFmtId="0" fontId="16" fillId="0" borderId="10" xfId="0" applyFont="1" applyBorder="1" applyAlignment="1">
      <alignment horizontal="left" vertical="center"/>
    </xf>
    <xf numFmtId="0" fontId="16" fillId="0" borderId="10" xfId="2" applyFont="1" applyBorder="1" applyAlignment="1">
      <alignment horizontal="left" vertical="center"/>
    </xf>
    <xf numFmtId="2" fontId="16" fillId="0" borderId="12" xfId="0" applyNumberFormat="1" applyFont="1" applyBorder="1"/>
    <xf numFmtId="0" fontId="15" fillId="0" borderId="47" xfId="0" applyFont="1" applyBorder="1"/>
    <xf numFmtId="0" fontId="12" fillId="2" borderId="48" xfId="0" applyFont="1" applyFill="1" applyBorder="1"/>
    <xf numFmtId="0" fontId="16" fillId="0" borderId="48" xfId="0" applyFont="1" applyBorder="1"/>
    <xf numFmtId="0" fontId="16" fillId="0" borderId="49" xfId="0" applyFont="1" applyBorder="1"/>
    <xf numFmtId="2" fontId="16" fillId="0" borderId="26" xfId="0" applyNumberFormat="1" applyFont="1" applyBorder="1"/>
    <xf numFmtId="2" fontId="16" fillId="0" borderId="10" xfId="0" applyNumberFormat="1" applyFont="1" applyBorder="1"/>
    <xf numFmtId="0" fontId="16" fillId="0" borderId="51" xfId="0" applyFont="1" applyBorder="1"/>
    <xf numFmtId="2" fontId="16" fillId="2" borderId="10" xfId="0" applyNumberFormat="1" applyFont="1" applyFill="1" applyBorder="1"/>
    <xf numFmtId="0" fontId="16" fillId="0" borderId="52" xfId="0" applyFont="1" applyBorder="1"/>
    <xf numFmtId="0" fontId="16" fillId="0" borderId="53" xfId="0" applyFont="1" applyBorder="1"/>
    <xf numFmtId="0" fontId="16" fillId="0" borderId="54" xfId="0" applyFont="1" applyBorder="1"/>
    <xf numFmtId="2" fontId="16" fillId="0" borderId="54" xfId="0" applyNumberFormat="1" applyFont="1" applyBorder="1"/>
    <xf numFmtId="0" fontId="15" fillId="0" borderId="44" xfId="0" applyFont="1" applyBorder="1"/>
    <xf numFmtId="0" fontId="12" fillId="2" borderId="43" xfId="0" applyFont="1" applyFill="1" applyBorder="1"/>
    <xf numFmtId="0" fontId="12" fillId="2" borderId="34" xfId="0" applyFont="1" applyFill="1" applyBorder="1"/>
    <xf numFmtId="0" fontId="12" fillId="2" borderId="36" xfId="0" applyFont="1" applyFill="1" applyBorder="1"/>
    <xf numFmtId="0" fontId="16" fillId="0" borderId="55" xfId="0" applyFont="1" applyBorder="1"/>
    <xf numFmtId="0" fontId="20" fillId="2" borderId="0" xfId="0" applyFont="1" applyFill="1" applyAlignment="1" applyProtection="1">
      <alignment vertical="center"/>
      <protection locked="0"/>
    </xf>
    <xf numFmtId="166" fontId="20" fillId="34" borderId="0" xfId="0" applyNumberFormat="1" applyFont="1" applyFill="1" applyAlignment="1">
      <alignment horizontal="center" vertical="center"/>
    </xf>
    <xf numFmtId="2" fontId="20" fillId="35" borderId="0" xfId="0" applyNumberFormat="1" applyFont="1" applyFill="1" applyAlignment="1">
      <alignment horizontal="right"/>
    </xf>
    <xf numFmtId="165" fontId="14" fillId="35" borderId="0" xfId="0" applyNumberFormat="1" applyFont="1" applyFill="1" applyAlignment="1">
      <alignment vertical="center"/>
    </xf>
    <xf numFmtId="2" fontId="21" fillId="0" borderId="9" xfId="0" applyNumberFormat="1" applyFont="1" applyBorder="1" applyAlignment="1">
      <alignment horizontal="left"/>
    </xf>
    <xf numFmtId="2" fontId="16" fillId="0" borderId="9" xfId="0" applyNumberFormat="1" applyFont="1" applyBorder="1" applyAlignment="1">
      <alignment horizontal="center"/>
    </xf>
    <xf numFmtId="2" fontId="16" fillId="36" borderId="9" xfId="0" applyNumberFormat="1" applyFont="1" applyFill="1" applyBorder="1" applyAlignment="1">
      <alignment horizontal="center"/>
    </xf>
    <xf numFmtId="2" fontId="21" fillId="36" borderId="9" xfId="0" applyNumberFormat="1" applyFont="1" applyFill="1" applyBorder="1" applyAlignment="1">
      <alignment horizontal="left"/>
    </xf>
    <xf numFmtId="165" fontId="16" fillId="36" borderId="0" xfId="0" applyNumberFormat="1" applyFont="1" applyFill="1" applyAlignment="1">
      <alignment horizontal="center" wrapText="1"/>
    </xf>
    <xf numFmtId="165" fontId="16" fillId="37" borderId="0" xfId="0" applyNumberFormat="1" applyFont="1" applyFill="1" applyAlignment="1">
      <alignment horizontal="center"/>
    </xf>
    <xf numFmtId="0" fontId="16" fillId="38" borderId="0" xfId="0" applyFont="1" applyFill="1"/>
    <xf numFmtId="0" fontId="16" fillId="39" borderId="0" xfId="0" applyFont="1" applyFill="1"/>
    <xf numFmtId="0" fontId="16" fillId="0" borderId="0" xfId="0" applyFont="1" applyAlignment="1">
      <alignment horizontal="left"/>
    </xf>
    <xf numFmtId="2" fontId="21" fillId="0" borderId="25" xfId="0" applyNumberFormat="1" applyFont="1" applyBorder="1" applyAlignment="1">
      <alignment horizontal="center"/>
    </xf>
    <xf numFmtId="0" fontId="20" fillId="35" borderId="0" xfId="0" applyFont="1" applyFill="1" applyAlignment="1" applyProtection="1">
      <alignment horizontal="center" vertical="center"/>
      <protection locked="0"/>
    </xf>
    <xf numFmtId="0" fontId="20" fillId="35" borderId="0" xfId="0" applyFont="1" applyFill="1" applyAlignment="1">
      <alignment horizontal="right" vertical="center"/>
    </xf>
    <xf numFmtId="0" fontId="15" fillId="0" borderId="9" xfId="0" applyFont="1" applyBorder="1" applyAlignment="1">
      <alignment wrapText="1"/>
    </xf>
    <xf numFmtId="0" fontId="15" fillId="0" borderId="37" xfId="0" applyFont="1" applyBorder="1" applyAlignment="1">
      <alignment wrapText="1"/>
    </xf>
    <xf numFmtId="0" fontId="16" fillId="0" borderId="9" xfId="0" applyFont="1" applyBorder="1" applyAlignment="1">
      <alignment wrapText="1"/>
    </xf>
    <xf numFmtId="0" fontId="20" fillId="35" borderId="0" xfId="0" applyFont="1" applyFill="1" applyAlignment="1">
      <alignment horizontal="left" vertical="center"/>
    </xf>
    <xf numFmtId="0" fontId="26" fillId="35" borderId="0" xfId="0" applyFont="1" applyFill="1" applyAlignment="1">
      <alignment horizontal="left" vertical="center" wrapText="1"/>
    </xf>
    <xf numFmtId="2" fontId="20" fillId="40" borderId="0" xfId="0" applyNumberFormat="1" applyFont="1" applyFill="1" applyAlignment="1">
      <alignment horizontal="center" vertical="center"/>
    </xf>
    <xf numFmtId="2" fontId="14" fillId="40" borderId="0" xfId="0" applyNumberFormat="1" applyFont="1" applyFill="1" applyAlignment="1">
      <alignment horizontal="center" vertical="center"/>
    </xf>
    <xf numFmtId="0" fontId="20" fillId="40" borderId="0" xfId="0" applyFont="1" applyFill="1" applyAlignment="1">
      <alignment horizontal="center" vertical="center"/>
    </xf>
    <xf numFmtId="0" fontId="26" fillId="35" borderId="19" xfId="0" applyFont="1" applyFill="1" applyBorder="1" applyAlignment="1">
      <alignment horizontal="left" vertical="center" wrapText="1"/>
    </xf>
    <xf numFmtId="166" fontId="14" fillId="35" borderId="0" xfId="0" applyNumberFormat="1" applyFont="1" applyFill="1" applyAlignment="1">
      <alignment horizontal="center" vertical="center"/>
    </xf>
    <xf numFmtId="0" fontId="14" fillId="35" borderId="0" xfId="0" applyFont="1" applyFill="1" applyAlignment="1">
      <alignment horizontal="right" vertical="center"/>
    </xf>
    <xf numFmtId="0" fontId="20" fillId="35" borderId="0" xfId="0" applyFont="1" applyFill="1" applyAlignment="1">
      <alignment vertical="center"/>
    </xf>
    <xf numFmtId="2" fontId="14" fillId="35" borderId="0" xfId="0" applyNumberFormat="1" applyFont="1" applyFill="1" applyAlignment="1">
      <alignment vertical="center"/>
    </xf>
    <xf numFmtId="0" fontId="0" fillId="35" borderId="0" xfId="0" applyFill="1"/>
    <xf numFmtId="0" fontId="20" fillId="33" borderId="0" xfId="0" applyFont="1" applyFill="1" applyAlignment="1">
      <alignment horizontal="center" vertical="center"/>
    </xf>
    <xf numFmtId="2" fontId="21" fillId="41" borderId="9" xfId="0" applyNumberFormat="1" applyFont="1" applyFill="1" applyBorder="1" applyAlignment="1">
      <alignment horizontal="left"/>
    </xf>
    <xf numFmtId="2" fontId="21" fillId="0" borderId="0" xfId="0" applyNumberFormat="1" applyFont="1" applyAlignment="1">
      <alignment horizontal="center"/>
    </xf>
    <xf numFmtId="0" fontId="16" fillId="0" borderId="13" xfId="0" applyFont="1" applyBorder="1" applyAlignment="1">
      <alignment horizontal="left" vertical="center"/>
    </xf>
    <xf numFmtId="2" fontId="16" fillId="38" borderId="9" xfId="0" applyNumberFormat="1" applyFont="1" applyFill="1" applyBorder="1" applyAlignment="1">
      <alignment horizontal="center"/>
    </xf>
    <xf numFmtId="2" fontId="21" fillId="38" borderId="9" xfId="0" applyNumberFormat="1" applyFont="1" applyFill="1" applyBorder="1" applyAlignment="1">
      <alignment horizontal="left"/>
    </xf>
    <xf numFmtId="2" fontId="21" fillId="38" borderId="9" xfId="0" applyNumberFormat="1" applyFont="1" applyFill="1" applyBorder="1" applyAlignment="1">
      <alignment horizontal="center"/>
    </xf>
    <xf numFmtId="2" fontId="21" fillId="38" borderId="28" xfId="0" applyNumberFormat="1" applyFont="1" applyFill="1" applyBorder="1" applyAlignment="1">
      <alignment horizontal="left"/>
    </xf>
    <xf numFmtId="2" fontId="16" fillId="38" borderId="9" xfId="0" applyNumberFormat="1" applyFont="1" applyFill="1" applyBorder="1" applyAlignment="1">
      <alignment horizontal="left"/>
    </xf>
    <xf numFmtId="2" fontId="21" fillId="2" borderId="21" xfId="0" applyNumberFormat="1" applyFont="1" applyFill="1" applyBorder="1" applyAlignment="1">
      <alignment horizontal="left"/>
    </xf>
    <xf numFmtId="2" fontId="16" fillId="37" borderId="9" xfId="0" applyNumberFormat="1" applyFont="1" applyFill="1" applyBorder="1" applyAlignment="1">
      <alignment horizontal="center"/>
    </xf>
    <xf numFmtId="2" fontId="21" fillId="37" borderId="9" xfId="0" applyNumberFormat="1" applyFont="1" applyFill="1" applyBorder="1" applyAlignment="1">
      <alignment horizontal="left"/>
    </xf>
    <xf numFmtId="2" fontId="16" fillId="37" borderId="25" xfId="0" applyNumberFormat="1" applyFont="1" applyFill="1" applyBorder="1" applyAlignment="1">
      <alignment horizontal="center"/>
    </xf>
    <xf numFmtId="2" fontId="16" fillId="37" borderId="25" xfId="0" applyNumberFormat="1" applyFont="1" applyFill="1" applyBorder="1" applyAlignment="1">
      <alignment horizontal="left"/>
    </xf>
    <xf numFmtId="0" fontId="16" fillId="35" borderId="9" xfId="0" applyFont="1" applyFill="1" applyBorder="1" applyAlignment="1">
      <alignment horizontal="left" vertical="center"/>
    </xf>
    <xf numFmtId="2" fontId="21" fillId="42" borderId="9" xfId="0" applyNumberFormat="1" applyFont="1" applyFill="1" applyBorder="1" applyAlignment="1">
      <alignment horizontal="center"/>
    </xf>
    <xf numFmtId="2" fontId="21" fillId="43" borderId="9" xfId="0" applyNumberFormat="1" applyFont="1" applyFill="1" applyBorder="1" applyAlignment="1">
      <alignment horizontal="center"/>
    </xf>
    <xf numFmtId="2" fontId="16" fillId="35" borderId="9" xfId="0" applyNumberFormat="1" applyFont="1" applyFill="1" applyBorder="1" applyAlignment="1">
      <alignment horizontal="center"/>
    </xf>
    <xf numFmtId="2" fontId="16" fillId="44" borderId="9" xfId="0" applyNumberFormat="1" applyFont="1" applyFill="1" applyBorder="1" applyAlignment="1">
      <alignment horizontal="center"/>
    </xf>
    <xf numFmtId="2" fontId="21" fillId="45" borderId="9" xfId="0" applyNumberFormat="1" applyFont="1" applyFill="1" applyBorder="1" applyAlignment="1">
      <alignment horizontal="left"/>
    </xf>
    <xf numFmtId="2" fontId="21" fillId="35" borderId="9" xfId="0" applyNumberFormat="1" applyFont="1" applyFill="1" applyBorder="1" applyAlignment="1">
      <alignment horizontal="center"/>
    </xf>
    <xf numFmtId="0" fontId="16" fillId="45" borderId="0" xfId="0" applyFont="1" applyFill="1"/>
    <xf numFmtId="164" fontId="14" fillId="2" borderId="0" xfId="0" applyNumberFormat="1" applyFont="1" applyFill="1" applyAlignment="1">
      <alignment vertical="center"/>
    </xf>
    <xf numFmtId="2" fontId="25" fillId="33" borderId="0" xfId="0" applyNumberFormat="1" applyFont="1" applyFill="1" applyAlignment="1" applyProtection="1">
      <alignment horizontal="center" vertical="center"/>
      <protection locked="0"/>
    </xf>
    <xf numFmtId="0" fontId="32" fillId="2" borderId="0" xfId="0" applyFont="1" applyFill="1"/>
    <xf numFmtId="0" fontId="32" fillId="2" borderId="0" xfId="0" applyFont="1" applyFill="1" applyAlignment="1">
      <alignment horizontal="left" vertical="center" wrapText="1"/>
    </xf>
    <xf numFmtId="0" fontId="1" fillId="0" borderId="0" xfId="0" applyFont="1"/>
    <xf numFmtId="2" fontId="21" fillId="36" borderId="25" xfId="0" applyNumberFormat="1" applyFont="1" applyFill="1" applyBorder="1" applyAlignment="1">
      <alignment horizontal="left"/>
    </xf>
    <xf numFmtId="2" fontId="5" fillId="0" borderId="0" xfId="0" applyNumberFormat="1" applyFont="1"/>
    <xf numFmtId="0" fontId="1" fillId="0" borderId="0" xfId="0" applyFont="1" applyAlignment="1">
      <alignment horizontal="center"/>
    </xf>
    <xf numFmtId="0" fontId="35" fillId="2" borderId="0" xfId="0" applyFont="1" applyFill="1" applyAlignment="1">
      <alignment horizontal="left" vertical="center"/>
    </xf>
    <xf numFmtId="2" fontId="35" fillId="31" borderId="0" xfId="0" applyNumberFormat="1" applyFont="1" applyFill="1" applyAlignment="1">
      <alignment horizontal="center" vertical="center"/>
    </xf>
    <xf numFmtId="0" fontId="35" fillId="2" borderId="0" xfId="0" applyFont="1" applyFill="1" applyAlignment="1">
      <alignment horizontal="right" vertical="center" wrapText="1"/>
    </xf>
    <xf numFmtId="0" fontId="35" fillId="33" borderId="0" xfId="0" applyFont="1" applyFill="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2" borderId="0" xfId="0" applyFont="1" applyFill="1" applyAlignment="1">
      <alignment horizontal="center" vertical="center"/>
    </xf>
    <xf numFmtId="0" fontId="20" fillId="34" borderId="0" xfId="0" applyFont="1" applyFill="1" applyAlignment="1">
      <alignment horizontal="center" vertical="center"/>
    </xf>
    <xf numFmtId="165" fontId="14" fillId="31" borderId="0" xfId="0" applyNumberFormat="1" applyFont="1" applyFill="1" applyAlignment="1">
      <alignment horizontal="center" vertical="center"/>
    </xf>
    <xf numFmtId="166" fontId="35" fillId="33" borderId="0" xfId="0" applyNumberFormat="1" applyFont="1" applyFill="1" applyAlignment="1" applyProtection="1">
      <alignment horizontal="center" vertical="center"/>
      <protection locked="0"/>
    </xf>
    <xf numFmtId="1" fontId="20" fillId="46" borderId="0" xfId="0" applyNumberFormat="1" applyFont="1" applyFill="1" applyAlignment="1">
      <alignment horizontal="center" vertical="center"/>
    </xf>
    <xf numFmtId="0" fontId="36" fillId="0" borderId="0" xfId="0" applyFont="1"/>
    <xf numFmtId="0" fontId="37" fillId="0" borderId="0" xfId="0" applyFont="1"/>
    <xf numFmtId="2" fontId="37" fillId="0" borderId="0" xfId="0" applyNumberFormat="1" applyFont="1"/>
    <xf numFmtId="0" fontId="38" fillId="0" borderId="0" xfId="0" applyFont="1"/>
    <xf numFmtId="2" fontId="37" fillId="0" borderId="0" xfId="0" applyNumberFormat="1" applyFont="1" applyAlignment="1">
      <alignment wrapText="1"/>
    </xf>
    <xf numFmtId="0" fontId="39" fillId="0" borderId="0" xfId="0" applyFont="1" applyAlignment="1">
      <alignment wrapText="1"/>
    </xf>
    <xf numFmtId="2" fontId="40" fillId="46" borderId="0" xfId="0" applyNumberFormat="1" applyFont="1" applyFill="1" applyAlignment="1">
      <alignment horizontal="center"/>
    </xf>
    <xf numFmtId="2" fontId="41" fillId="2" borderId="0" xfId="0" applyNumberFormat="1" applyFont="1" applyFill="1" applyAlignment="1">
      <alignment vertical="center"/>
    </xf>
    <xf numFmtId="2" fontId="41" fillId="46" borderId="0" xfId="0" applyNumberFormat="1" applyFont="1" applyFill="1" applyAlignment="1">
      <alignment vertical="center"/>
    </xf>
    <xf numFmtId="2" fontId="41" fillId="2" borderId="0" xfId="0" applyNumberFormat="1" applyFont="1" applyFill="1" applyAlignment="1">
      <alignment wrapText="1"/>
    </xf>
    <xf numFmtId="2" fontId="41" fillId="46" borderId="0" xfId="0" applyNumberFormat="1" applyFont="1" applyFill="1" applyAlignment="1">
      <alignment wrapText="1"/>
    </xf>
    <xf numFmtId="2" fontId="41" fillId="2" borderId="0" xfId="0" applyNumberFormat="1" applyFont="1" applyFill="1"/>
    <xf numFmtId="2" fontId="41" fillId="46" borderId="0" xfId="0" applyNumberFormat="1" applyFont="1" applyFill="1"/>
    <xf numFmtId="2" fontId="20" fillId="2" borderId="0" xfId="0" applyNumberFormat="1" applyFont="1" applyFill="1" applyAlignment="1">
      <alignment horizontal="center" wrapText="1"/>
    </xf>
    <xf numFmtId="0" fontId="22" fillId="2" borderId="0" xfId="0" applyFont="1" applyFill="1" applyAlignment="1">
      <alignment vertical="top" wrapText="1"/>
    </xf>
    <xf numFmtId="0" fontId="22" fillId="2" borderId="0" xfId="0" applyFont="1" applyFill="1" applyAlignment="1">
      <alignment vertical="top"/>
    </xf>
    <xf numFmtId="0" fontId="24" fillId="2" borderId="0" xfId="4" applyFont="1" applyFill="1" applyBorder="1" applyAlignment="1" applyProtection="1">
      <alignment horizontal="left" vertical="top"/>
      <protection locked="0"/>
    </xf>
    <xf numFmtId="0" fontId="20" fillId="2" borderId="10" xfId="0" applyFont="1" applyFill="1" applyBorder="1" applyAlignment="1">
      <alignment horizontal="left" vertical="center"/>
    </xf>
    <xf numFmtId="0" fontId="20" fillId="2" borderId="11" xfId="0" applyFont="1" applyFill="1" applyBorder="1" applyAlignment="1">
      <alignment horizontal="left" vertical="center"/>
    </xf>
    <xf numFmtId="0" fontId="20" fillId="2" borderId="12" xfId="0" applyFont="1" applyFill="1" applyBorder="1" applyAlignment="1">
      <alignment horizontal="left" vertical="center"/>
    </xf>
    <xf numFmtId="0" fontId="33" fillId="2" borderId="0" xfId="0" applyFont="1" applyFill="1" applyAlignment="1" applyProtection="1">
      <alignment horizontal="left" vertical="center" wrapText="1"/>
      <protection locked="0"/>
    </xf>
    <xf numFmtId="0" fontId="22" fillId="2" borderId="0" xfId="0" applyFont="1" applyFill="1" applyAlignment="1">
      <alignment horizontal="left" vertical="top" wrapText="1"/>
    </xf>
    <xf numFmtId="0" fontId="22" fillId="2" borderId="0" xfId="0" applyFont="1" applyFill="1" applyAlignment="1">
      <alignment horizontal="left" vertical="top"/>
    </xf>
    <xf numFmtId="0" fontId="23" fillId="2" borderId="0" xfId="0" applyFont="1" applyFill="1" applyAlignment="1" applyProtection="1">
      <alignment vertical="top" wrapText="1"/>
      <protection locked="0"/>
    </xf>
    <xf numFmtId="0" fontId="20" fillId="2" borderId="0" xfId="0" applyFont="1" applyFill="1" applyAlignment="1">
      <alignment vertical="center" wrapText="1"/>
    </xf>
    <xf numFmtId="0" fontId="20" fillId="2" borderId="17" xfId="0" applyFont="1" applyFill="1" applyBorder="1" applyAlignment="1">
      <alignment vertical="center" wrapText="1"/>
    </xf>
    <xf numFmtId="0" fontId="20" fillId="2" borderId="0" xfId="0" applyFont="1" applyFill="1" applyAlignment="1">
      <alignment horizontal="left" vertical="center" wrapText="1"/>
    </xf>
    <xf numFmtId="0" fontId="20" fillId="2" borderId="17" xfId="0" applyFont="1" applyFill="1" applyBorder="1" applyAlignment="1">
      <alignment horizontal="left" vertic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20" fillId="2" borderId="14"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14" fillId="2" borderId="18" xfId="0" applyFont="1" applyFill="1" applyBorder="1" applyAlignment="1">
      <alignment horizontal="center" vertical="center" wrapText="1"/>
    </xf>
    <xf numFmtId="0" fontId="24" fillId="2" borderId="0" xfId="4" applyFont="1" applyFill="1" applyBorder="1" applyAlignment="1" applyProtection="1">
      <alignment horizontal="left" vertical="center" wrapText="1"/>
      <protection locked="0"/>
    </xf>
    <xf numFmtId="0" fontId="14" fillId="2" borderId="0" xfId="0" applyFont="1" applyFill="1" applyAlignment="1" applyProtection="1">
      <alignment horizontal="left" vertical="center" wrapText="1"/>
      <protection locked="0"/>
    </xf>
    <xf numFmtId="0" fontId="20" fillId="0" borderId="0" xfId="0" applyFont="1" applyAlignment="1">
      <alignment horizontal="left" vertical="top" wrapText="1"/>
    </xf>
    <xf numFmtId="0" fontId="25" fillId="2" borderId="0" xfId="4" applyFont="1" applyFill="1" applyBorder="1" applyAlignment="1" applyProtection="1">
      <alignment horizontal="left" vertical="center" wrapText="1"/>
    </xf>
    <xf numFmtId="0" fontId="20" fillId="2" borderId="0" xfId="0" applyFont="1" applyFill="1" applyAlignment="1">
      <alignment vertical="center"/>
    </xf>
    <xf numFmtId="0" fontId="20" fillId="2" borderId="17" xfId="0" applyFont="1" applyFill="1" applyBorder="1" applyAlignment="1">
      <alignment vertical="center"/>
    </xf>
    <xf numFmtId="0" fontId="14" fillId="2" borderId="0" xfId="0" applyFont="1" applyFill="1" applyAlignment="1" applyProtection="1">
      <alignment horizontal="left"/>
      <protection locked="0"/>
    </xf>
    <xf numFmtId="0" fontId="14" fillId="2" borderId="0" xfId="0" applyFont="1" applyFill="1" applyAlignment="1" applyProtection="1">
      <alignment horizontal="left" vertical="center"/>
      <protection locked="0"/>
    </xf>
    <xf numFmtId="0" fontId="14" fillId="2" borderId="0" xfId="0" applyFont="1" applyFill="1" applyAlignment="1">
      <alignment horizontal="left" vertical="center"/>
    </xf>
    <xf numFmtId="0" fontId="20" fillId="2" borderId="0" xfId="0" applyFont="1" applyFill="1" applyAlignment="1">
      <alignment horizontal="left" vertical="center"/>
    </xf>
    <xf numFmtId="0" fontId="31" fillId="2" borderId="0" xfId="4" applyFont="1" applyFill="1" applyAlignment="1">
      <alignment horizontal="left" vertical="center" wrapText="1"/>
    </xf>
    <xf numFmtId="0" fontId="14" fillId="2" borderId="0" xfId="0" applyFont="1" applyFill="1" applyAlignment="1">
      <alignment horizontal="left" vertical="center" wrapText="1"/>
    </xf>
    <xf numFmtId="0" fontId="20" fillId="2" borderId="0" xfId="0" applyFont="1" applyFill="1" applyAlignment="1">
      <alignment horizontal="center" vertical="center" wrapText="1"/>
    </xf>
    <xf numFmtId="0" fontId="20" fillId="0" borderId="9" xfId="0" applyFont="1" applyBorder="1" applyAlignment="1">
      <alignment horizontal="left" vertical="center"/>
    </xf>
    <xf numFmtId="0" fontId="20" fillId="0" borderId="9" xfId="0" applyFont="1" applyBorder="1" applyAlignment="1">
      <alignment horizontal="left" vertical="center" wrapText="1"/>
    </xf>
    <xf numFmtId="0" fontId="20" fillId="2" borderId="9" xfId="0" applyFont="1" applyFill="1" applyBorder="1" applyAlignment="1">
      <alignment horizontal="left" vertical="center"/>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14" fillId="2" borderId="9" xfId="0" applyFont="1" applyFill="1" applyBorder="1" applyAlignment="1">
      <alignment horizontal="center" vertical="center"/>
    </xf>
    <xf numFmtId="0" fontId="20" fillId="0" borderId="10" xfId="0" quotePrefix="1"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0" xfId="0" applyFont="1" applyBorder="1" applyAlignment="1">
      <alignment horizontal="left" vertical="center" wrapText="1"/>
    </xf>
    <xf numFmtId="0" fontId="20" fillId="2" borderId="10"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2" fillId="2" borderId="0" xfId="4" applyFont="1" applyFill="1" applyBorder="1" applyAlignment="1" applyProtection="1">
      <alignment horizontal="left" vertical="center" wrapText="1"/>
      <protection locked="0"/>
    </xf>
    <xf numFmtId="0" fontId="20" fillId="2" borderId="10" xfId="0" applyFont="1" applyFill="1" applyBorder="1" applyAlignment="1" applyProtection="1">
      <alignment horizontal="left"/>
      <protection locked="0"/>
    </xf>
    <xf numFmtId="0" fontId="20" fillId="2" borderId="11" xfId="0" applyFont="1" applyFill="1" applyBorder="1" applyAlignment="1" applyProtection="1">
      <alignment horizontal="left"/>
      <protection locked="0"/>
    </xf>
    <xf numFmtId="0" fontId="20" fillId="2" borderId="12" xfId="0" applyFont="1" applyFill="1" applyBorder="1" applyAlignment="1" applyProtection="1">
      <alignment horizontal="left"/>
      <protection locked="0"/>
    </xf>
    <xf numFmtId="0" fontId="20" fillId="2" borderId="13" xfId="0" applyFont="1" applyFill="1" applyBorder="1" applyAlignment="1" applyProtection="1">
      <alignment horizontal="left" vertical="top"/>
      <protection locked="0"/>
    </xf>
    <xf numFmtId="0" fontId="20" fillId="2" borderId="14" xfId="0" applyFont="1" applyFill="1" applyBorder="1" applyAlignment="1" applyProtection="1">
      <alignment horizontal="left" vertical="top"/>
      <protection locked="0"/>
    </xf>
    <xf numFmtId="0" fontId="20" fillId="2" borderId="15" xfId="0" applyFont="1" applyFill="1" applyBorder="1" applyAlignment="1" applyProtection="1">
      <alignment horizontal="left" vertical="top"/>
      <protection locked="0"/>
    </xf>
    <xf numFmtId="0" fontId="20" fillId="2" borderId="16" xfId="0" applyFont="1" applyFill="1" applyBorder="1" applyAlignment="1" applyProtection="1">
      <alignment horizontal="left" vertical="top"/>
      <protection locked="0"/>
    </xf>
    <xf numFmtId="0" fontId="20" fillId="2" borderId="0" xfId="0" applyFont="1" applyFill="1" applyAlignment="1" applyProtection="1">
      <alignment horizontal="left" vertical="top"/>
      <protection locked="0"/>
    </xf>
    <xf numFmtId="0" fontId="20" fillId="2" borderId="17" xfId="0" applyFont="1" applyFill="1" applyBorder="1" applyAlignment="1" applyProtection="1">
      <alignment horizontal="left" vertical="top"/>
      <protection locked="0"/>
    </xf>
    <xf numFmtId="0" fontId="20" fillId="2" borderId="18" xfId="0" applyFont="1" applyFill="1" applyBorder="1" applyAlignment="1" applyProtection="1">
      <alignment horizontal="left" vertical="top"/>
      <protection locked="0"/>
    </xf>
    <xf numFmtId="0" fontId="20" fillId="2" borderId="19" xfId="0" applyFont="1" applyFill="1" applyBorder="1" applyAlignment="1" applyProtection="1">
      <alignment horizontal="left" vertical="top"/>
      <protection locked="0"/>
    </xf>
    <xf numFmtId="0" fontId="20" fillId="2" borderId="20" xfId="0" applyFont="1" applyFill="1" applyBorder="1" applyAlignment="1" applyProtection="1">
      <alignment horizontal="left" vertical="top"/>
      <protection locked="0"/>
    </xf>
    <xf numFmtId="0" fontId="14" fillId="2" borderId="10" xfId="0" applyFont="1" applyFill="1" applyBorder="1" applyAlignment="1">
      <alignment horizontal="left" vertical="center"/>
    </xf>
    <xf numFmtId="0" fontId="14" fillId="2" borderId="12" xfId="0" applyFont="1" applyFill="1" applyBorder="1" applyAlignment="1">
      <alignment horizontal="left" vertical="center"/>
    </xf>
    <xf numFmtId="0" fontId="14" fillId="2" borderId="10" xfId="0" applyFont="1" applyFill="1" applyBorder="1" applyAlignment="1" applyProtection="1">
      <alignment horizontal="left"/>
      <protection locked="0"/>
    </xf>
    <xf numFmtId="0" fontId="14" fillId="2" borderId="11" xfId="0" applyFont="1" applyFill="1" applyBorder="1" applyAlignment="1" applyProtection="1">
      <alignment horizontal="left"/>
      <protection locked="0"/>
    </xf>
    <xf numFmtId="0" fontId="14" fillId="2" borderId="12" xfId="0" applyFont="1" applyFill="1" applyBorder="1" applyAlignment="1" applyProtection="1">
      <alignment horizontal="left"/>
      <protection locked="0"/>
    </xf>
    <xf numFmtId="0" fontId="20" fillId="2" borderId="10" xfId="0" applyFont="1" applyFill="1" applyBorder="1" applyAlignment="1" applyProtection="1">
      <alignment horizontal="left" wrapText="1"/>
      <protection locked="0"/>
    </xf>
    <xf numFmtId="0" fontId="20" fillId="2" borderId="11" xfId="0" applyFont="1" applyFill="1" applyBorder="1" applyAlignment="1" applyProtection="1">
      <alignment horizontal="left" wrapText="1"/>
      <protection locked="0"/>
    </xf>
    <xf numFmtId="0" fontId="20" fillId="2" borderId="12" xfId="0" applyFont="1" applyFill="1" applyBorder="1" applyAlignment="1" applyProtection="1">
      <alignment horizontal="left" wrapText="1"/>
      <protection locked="0"/>
    </xf>
    <xf numFmtId="0" fontId="35" fillId="2" borderId="0" xfId="0" applyFont="1" applyFill="1" applyAlignment="1">
      <alignment horizontal="left" vertical="center"/>
    </xf>
    <xf numFmtId="0" fontId="26" fillId="2" borderId="0" xfId="0" applyFont="1" applyFill="1" applyAlignment="1">
      <alignment horizontal="left" vertical="center" wrapText="1"/>
    </xf>
    <xf numFmtId="0" fontId="20" fillId="0" borderId="0" xfId="0" applyFont="1" applyAlignment="1">
      <alignment horizontal="left" vertical="center"/>
    </xf>
    <xf numFmtId="0" fontId="20" fillId="2" borderId="0" xfId="0" applyFont="1" applyFill="1" applyAlignment="1">
      <alignment horizontal="right" vertical="center" wrapText="1"/>
    </xf>
    <xf numFmtId="0" fontId="20" fillId="2" borderId="0" xfId="0" applyFont="1" applyFill="1" applyAlignment="1">
      <alignment horizontal="center" vertical="center"/>
    </xf>
    <xf numFmtId="0" fontId="8" fillId="0" borderId="0" xfId="0" applyFont="1" applyAlignment="1">
      <alignment horizontal="left" vertical="top" wrapText="1"/>
    </xf>
    <xf numFmtId="0" fontId="29" fillId="2" borderId="0" xfId="0" applyFont="1" applyFill="1" applyAlignment="1">
      <alignment horizontal="center" vertical="center" wrapText="1"/>
    </xf>
    <xf numFmtId="0" fontId="14" fillId="2" borderId="0" xfId="0" applyFont="1" applyFill="1" applyAlignment="1">
      <alignment horizontal="center" vertical="center" wrapText="1"/>
    </xf>
    <xf numFmtId="0" fontId="26" fillId="2" borderId="19" xfId="0" applyFont="1" applyFill="1" applyBorder="1" applyAlignment="1">
      <alignment horizontal="left" vertical="center" wrapText="1"/>
    </xf>
    <xf numFmtId="0" fontId="1" fillId="0" borderId="0" xfId="0" applyFont="1" applyAlignment="1">
      <alignment horizontal="center"/>
    </xf>
    <xf numFmtId="0" fontId="26" fillId="2" borderId="0" xfId="0" applyFont="1" applyFill="1" applyAlignment="1">
      <alignment horizontal="left" wrapText="1"/>
    </xf>
    <xf numFmtId="0" fontId="14" fillId="2" borderId="0" xfId="0" applyFont="1" applyFill="1" applyAlignment="1">
      <alignment horizontal="center" vertical="center"/>
    </xf>
    <xf numFmtId="49" fontId="20" fillId="2" borderId="0" xfId="0" applyNumberFormat="1" applyFont="1" applyFill="1" applyAlignment="1">
      <alignment horizontal="center" vertical="center"/>
    </xf>
    <xf numFmtId="0" fontId="20" fillId="2" borderId="0" xfId="0" applyFont="1" applyFill="1" applyAlignment="1">
      <alignment horizontal="left"/>
    </xf>
    <xf numFmtId="0" fontId="26" fillId="35" borderId="0" xfId="0" applyFont="1" applyFill="1" applyAlignment="1">
      <alignment horizontal="left" vertical="center" wrapText="1"/>
    </xf>
    <xf numFmtId="0" fontId="14" fillId="2" borderId="0" xfId="0" applyFont="1" applyFill="1" applyAlignment="1">
      <alignment horizontal="right" vertical="center"/>
    </xf>
    <xf numFmtId="0" fontId="30" fillId="2" borderId="0" xfId="4" applyFont="1" applyFill="1" applyBorder="1" applyAlignment="1" applyProtection="1">
      <alignment horizontal="left" vertical="center" wrapText="1"/>
      <protection locked="0"/>
    </xf>
    <xf numFmtId="0" fontId="31" fillId="35" borderId="0" xfId="4" applyFont="1" applyFill="1" applyBorder="1" applyAlignment="1" applyProtection="1">
      <alignment horizontal="left" vertical="center" wrapText="1"/>
      <protection locked="0"/>
    </xf>
    <xf numFmtId="0" fontId="26" fillId="2" borderId="0" xfId="0" applyFont="1" applyFill="1" applyAlignment="1">
      <alignment horizontal="left" vertical="top" wrapText="1"/>
    </xf>
    <xf numFmtId="0" fontId="14" fillId="2" borderId="0" xfId="0" applyFont="1" applyFill="1" applyAlignment="1">
      <alignment horizontal="center"/>
    </xf>
    <xf numFmtId="0" fontId="14" fillId="3" borderId="0" xfId="0" applyFont="1" applyFill="1" applyAlignment="1">
      <alignment horizontal="left" vertical="center" wrapText="1"/>
    </xf>
    <xf numFmtId="0" fontId="26" fillId="2" borderId="0" xfId="0" applyFont="1" applyFill="1" applyAlignment="1">
      <alignment horizontal="center" vertical="center" wrapText="1"/>
    </xf>
    <xf numFmtId="49" fontId="25" fillId="2" borderId="0" xfId="4" applyNumberFormat="1" applyFont="1" applyFill="1" applyBorder="1" applyAlignment="1" applyProtection="1">
      <alignment horizontal="left" vertical="center" wrapText="1"/>
    </xf>
    <xf numFmtId="49" fontId="25" fillId="2" borderId="23" xfId="4" applyNumberFormat="1" applyFont="1" applyFill="1" applyBorder="1" applyAlignment="1" applyProtection="1">
      <alignment horizontal="left" vertical="center" wrapText="1"/>
    </xf>
    <xf numFmtId="0" fontId="26" fillId="2" borderId="7" xfId="0" applyFont="1" applyFill="1" applyBorder="1" applyAlignment="1">
      <alignment horizontal="left" vertical="center" wrapText="1"/>
    </xf>
    <xf numFmtId="2" fontId="20" fillId="34" borderId="0" xfId="0" applyNumberFormat="1" applyFont="1" applyFill="1" applyAlignment="1">
      <alignment horizontal="center" vertical="center"/>
    </xf>
    <xf numFmtId="2" fontId="20" fillId="34" borderId="0" xfId="0" applyNumberFormat="1" applyFont="1" applyFill="1" applyAlignment="1">
      <alignment horizontal="center"/>
    </xf>
    <xf numFmtId="0" fontId="12" fillId="2" borderId="34" xfId="0" applyFont="1" applyFill="1" applyBorder="1" applyAlignment="1">
      <alignment horizontal="center" wrapText="1"/>
    </xf>
    <xf numFmtId="0" fontId="12" fillId="2" borderId="36" xfId="0" applyFont="1" applyFill="1" applyBorder="1" applyAlignment="1">
      <alignment horizontal="center" wrapText="1"/>
    </xf>
    <xf numFmtId="0" fontId="12" fillId="2" borderId="45" xfId="0" applyFont="1" applyFill="1" applyBorder="1" applyAlignment="1">
      <alignment horizontal="center" wrapText="1"/>
    </xf>
    <xf numFmtId="0" fontId="12" fillId="2" borderId="50" xfId="0" applyFont="1" applyFill="1" applyBorder="1" applyAlignment="1">
      <alignment horizontal="center" wrapText="1"/>
    </xf>
    <xf numFmtId="0" fontId="12" fillId="2" borderId="34" xfId="0" applyFont="1" applyFill="1" applyBorder="1" applyAlignment="1">
      <alignment horizontal="center"/>
    </xf>
    <xf numFmtId="0" fontId="12" fillId="2" borderId="36" xfId="0" applyFont="1" applyFill="1" applyBorder="1" applyAlignment="1">
      <alignment horizontal="center"/>
    </xf>
    <xf numFmtId="0" fontId="1" fillId="2" borderId="29" xfId="0" applyFont="1" applyFill="1" applyBorder="1" applyAlignment="1">
      <alignment horizontal="center"/>
    </xf>
    <xf numFmtId="0" fontId="1" fillId="2" borderId="27" xfId="0" applyFont="1" applyFill="1" applyBorder="1" applyAlignment="1">
      <alignment horizontal="center"/>
    </xf>
    <xf numFmtId="0" fontId="1" fillId="2" borderId="46" xfId="0" applyFont="1" applyFill="1" applyBorder="1" applyAlignment="1">
      <alignment horizontal="center"/>
    </xf>
    <xf numFmtId="0" fontId="1" fillId="2" borderId="31" xfId="0" applyFont="1" applyFill="1" applyBorder="1" applyAlignment="1">
      <alignment horizontal="center"/>
    </xf>
    <xf numFmtId="0" fontId="1" fillId="2" borderId="33" xfId="0" applyFont="1" applyFill="1" applyBorder="1" applyAlignment="1">
      <alignment horizontal="center"/>
    </xf>
    <xf numFmtId="0" fontId="1" fillId="2" borderId="30" xfId="0" applyFont="1" applyFill="1" applyBorder="1" applyAlignment="1">
      <alignment horizontal="center"/>
    </xf>
    <xf numFmtId="0" fontId="1" fillId="2" borderId="40" xfId="0" applyFont="1" applyFill="1" applyBorder="1" applyAlignment="1">
      <alignment horizontal="center"/>
    </xf>
    <xf numFmtId="0" fontId="1" fillId="2" borderId="56" xfId="0" applyFont="1" applyFill="1" applyBorder="1" applyAlignment="1">
      <alignment horizontal="center"/>
    </xf>
    <xf numFmtId="0" fontId="1" fillId="2" borderId="41" xfId="0" applyFont="1" applyFill="1" applyBorder="1" applyAlignment="1">
      <alignment horizontal="center"/>
    </xf>
    <xf numFmtId="0" fontId="1" fillId="2" borderId="32" xfId="0" applyFont="1" applyFill="1" applyBorder="1" applyAlignment="1">
      <alignment horizontal="center"/>
    </xf>
    <xf numFmtId="0" fontId="12" fillId="2" borderId="20" xfId="0" applyFont="1" applyFill="1" applyBorder="1" applyAlignment="1">
      <alignment horizontal="center" wrapText="1"/>
    </xf>
    <xf numFmtId="0" fontId="12" fillId="2" borderId="18" xfId="0" applyFont="1" applyFill="1" applyBorder="1" applyAlignment="1">
      <alignment horizontal="center" wrapText="1"/>
    </xf>
    <xf numFmtId="0" fontId="12" fillId="2" borderId="39" xfId="0" applyFont="1" applyFill="1" applyBorder="1" applyAlignment="1">
      <alignment horizontal="center" wrapText="1"/>
    </xf>
    <xf numFmtId="0" fontId="20" fillId="35" borderId="0" xfId="0" applyFont="1" applyFill="1" applyAlignment="1">
      <alignment horizontal="left" vertical="center"/>
    </xf>
    <xf numFmtId="0" fontId="14" fillId="0" borderId="0" xfId="0" applyFont="1" applyAlignment="1">
      <alignment horizontal="center" vertical="center"/>
    </xf>
    <xf numFmtId="0" fontId="14" fillId="2" borderId="0" xfId="0" quotePrefix="1" applyFont="1" applyFill="1" applyAlignment="1">
      <alignment horizontal="center" vertical="center"/>
    </xf>
    <xf numFmtId="0" fontId="14" fillId="2" borderId="0" xfId="0" applyFont="1" applyFill="1" applyAlignment="1">
      <alignment horizontal="left"/>
    </xf>
    <xf numFmtId="0" fontId="20" fillId="0" borderId="0" xfId="0" applyFont="1" applyAlignment="1" applyProtection="1">
      <alignment horizontal="left" wrapText="1"/>
      <protection locked="0"/>
    </xf>
  </cellXfs>
  <cellStyles count="5">
    <cellStyle name="Hyperlink" xfId="4" builtinId="8"/>
    <cellStyle name="Normal" xfId="0" builtinId="0" customBuiltin="1"/>
    <cellStyle name="Normal 2" xfId="2" xr:uid="{3B885966-5D60-4239-9CAA-61962E998E20}"/>
    <cellStyle name="Normal 4" xfId="3" xr:uid="{EE680740-7D32-4421-AB29-DF4322DA1108}"/>
    <cellStyle name="Per cent" xfId="1" builtinId="5"/>
  </cellStyles>
  <dxfs count="56">
    <dxf>
      <fill>
        <patternFill>
          <bgColor rgb="FF00B050"/>
        </patternFill>
      </fill>
    </dxf>
    <dxf>
      <fill>
        <patternFill>
          <bgColor rgb="FFFF0000"/>
        </patternFill>
      </fill>
    </dxf>
    <dxf>
      <font>
        <strike val="0"/>
        <outline val="0"/>
        <shadow val="0"/>
        <u val="none"/>
        <vertAlign val="baseline"/>
        <name val="Calibri"/>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minor"/>
      </font>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minor"/>
      </font>
    </dxf>
    <dxf>
      <font>
        <b/>
        <i val="0"/>
        <strike val="0"/>
        <condense val="0"/>
        <extend val="0"/>
        <outline val="0"/>
        <shadow val="0"/>
        <u val="none"/>
        <vertAlign val="baseline"/>
        <sz val="10"/>
        <color rgb="FF000000"/>
        <name val="Calibri"/>
        <family val="2"/>
        <scheme val="minor"/>
      </font>
      <border diagonalUp="0" diagonalDown="0" outline="0">
        <left style="thin">
          <color indexed="64"/>
        </left>
        <right style="thin">
          <color indexed="64"/>
        </right>
        <top/>
        <bottom/>
      </border>
    </dxf>
    <dxf>
      <font>
        <strike val="0"/>
        <outline val="0"/>
        <shadow val="0"/>
        <u val="none"/>
        <vertAlign val="baseline"/>
        <name val="Calibri"/>
        <family val="2"/>
        <scheme val="minor"/>
      </font>
      <numFmt numFmtId="2" formatCode="0.00"/>
      <fill>
        <patternFill patternType="solid">
          <fgColor indexed="64"/>
          <bgColor theme="0"/>
        </patternFill>
      </fill>
      <border diagonalUp="0" diagonalDown="0" outline="0">
        <left style="thin">
          <color indexed="64"/>
        </left>
        <right style="thin">
          <color indexed="64"/>
        </right>
        <top/>
        <bottom/>
      </border>
    </dxf>
    <dxf>
      <font>
        <strike val="0"/>
        <outline val="0"/>
        <shadow val="0"/>
        <u val="none"/>
        <vertAlign val="baseline"/>
        <name val="Calibri"/>
        <family val="2"/>
        <scheme val="minor"/>
      </font>
      <fill>
        <patternFill patternType="solid">
          <fgColor indexed="64"/>
          <bgColor theme="0"/>
        </patternFill>
      </fill>
      <border diagonalUp="0" diagonalDown="0" outline="0">
        <left/>
        <right style="thin">
          <color indexed="64"/>
        </right>
        <top/>
        <bottom/>
      </border>
    </dxf>
    <dxf>
      <font>
        <strike val="0"/>
        <outline val="0"/>
        <shadow val="0"/>
        <u val="none"/>
        <vertAlign val="baseline"/>
        <name val="Calibri"/>
        <family val="2"/>
        <scheme val="minor"/>
      </font>
      <fill>
        <patternFill patternType="solid">
          <fgColor indexed="64"/>
          <bgColor theme="0"/>
        </patternFill>
      </fill>
    </dxf>
    <dxf>
      <font>
        <b/>
        <i val="0"/>
        <strike val="0"/>
        <condense val="0"/>
        <extend val="0"/>
        <outline val="0"/>
        <shadow val="0"/>
        <u val="none"/>
        <vertAlign val="baseline"/>
        <sz val="10"/>
        <color rgb="FF000000"/>
        <name val="Calibri"/>
        <family val="2"/>
        <scheme val="minor"/>
      </font>
    </dxf>
    <dxf>
      <font>
        <b val="0"/>
        <i val="0"/>
        <strike val="0"/>
        <condense val="0"/>
        <extend val="0"/>
        <outline val="0"/>
        <shadow val="0"/>
        <u val="none"/>
        <vertAlign val="baseline"/>
        <sz val="10"/>
        <color theme="1"/>
        <name val="Calibri"/>
        <family val="2"/>
        <scheme val="minor"/>
      </font>
      <numFmt numFmtId="2" formatCode="0.00"/>
      <fill>
        <patternFill>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2" formatCode="0.00"/>
      <fill>
        <patternFill>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border>
    </dxf>
    <dxf>
      <font>
        <strike val="0"/>
        <outline val="0"/>
        <shadow val="0"/>
        <u val="none"/>
        <vertAlign val="baseline"/>
        <color theme="1"/>
        <name val="Calibri"/>
        <family val="2"/>
        <scheme val="minor"/>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minor"/>
      </font>
      <numFmt numFmtId="2" formatCode="0.00"/>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border diagonalUp="0" diagonalDown="0" outline="0">
        <left style="thin">
          <color indexed="64"/>
        </left>
        <right style="thin">
          <color indexed="64"/>
        </right>
        <top/>
        <bottom/>
      </border>
    </dxf>
    <dxf>
      <font>
        <strike val="0"/>
        <outline val="0"/>
        <shadow val="0"/>
        <u val="none"/>
        <vertAlign val="baseline"/>
        <name val="Calibri"/>
        <family val="2"/>
        <scheme val="minor"/>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border diagonalUp="0" diagonalDown="0" outline="0">
        <left style="thin">
          <color indexed="64"/>
        </left>
        <right style="thin">
          <color indexed="64"/>
        </right>
        <top/>
        <bottom/>
      </border>
    </dxf>
    <dxf>
      <font>
        <strike val="0"/>
        <outline val="0"/>
        <shadow val="0"/>
        <u val="none"/>
        <vertAlign val="baseline"/>
        <name val="Calibri"/>
        <family val="2"/>
        <scheme val="minor"/>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border diagonalUp="0" diagonalDown="0" outline="0">
        <left style="thin">
          <color indexed="64"/>
        </left>
        <right style="thin">
          <color indexed="64"/>
        </right>
        <top/>
        <bottom/>
      </border>
    </dxf>
    <dxf>
      <font>
        <b val="0"/>
        <strike val="0"/>
        <outline val="0"/>
        <shadow val="0"/>
        <u val="none"/>
        <vertAlign val="baseline"/>
        <sz val="10"/>
        <color rgb="FF000000"/>
        <name val="Calibri"/>
        <family val="2"/>
        <scheme val="minor"/>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alignment horizontal="left" vertical="center" textRotation="0" wrapText="0" indent="0" justifyLastLine="0" shrinkToFit="0" readingOrder="0"/>
    </dxf>
    <dxf>
      <border outline="0">
        <bottom style="medium">
          <color indexed="64"/>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name val="Calibri"/>
        <family val="2"/>
        <scheme val="minor"/>
      </font>
    </dxf>
    <dxf>
      <font>
        <strike val="0"/>
        <outline val="0"/>
        <shadow val="0"/>
        <u val="none"/>
        <vertAlign val="baseline"/>
        <name val="Calibri"/>
        <family val="2"/>
        <scheme val="minor"/>
      </font>
    </dxf>
    <dxf>
      <fill>
        <patternFill>
          <bgColor theme="5" tint="0.59996337778862885"/>
        </patternFill>
      </fill>
    </dxf>
    <dxf>
      <fill>
        <patternFill>
          <bgColor theme="8" tint="0.59996337778862885"/>
        </patternFill>
      </fill>
    </dxf>
    <dxf>
      <fill>
        <patternFill>
          <bgColor rgb="FFFF6969"/>
        </patternFill>
      </fill>
    </dxf>
    <dxf>
      <fill>
        <patternFill>
          <bgColor rgb="FFFF5757"/>
        </patternFill>
      </fill>
    </dxf>
    <dxf>
      <fill>
        <patternFill>
          <bgColor theme="9" tint="0.59996337778862885"/>
        </patternFill>
      </fill>
    </dxf>
    <dxf>
      <fill>
        <patternFill>
          <bgColor theme="8" tint="0.59996337778862885"/>
        </patternFill>
      </fill>
    </dxf>
    <dxf>
      <fill>
        <patternFill>
          <bgColor theme="5" tint="0.59996337778862885"/>
        </patternFill>
      </fill>
    </dxf>
    <dxf>
      <fill>
        <patternFill>
          <bgColor rgb="FFFF7171"/>
        </patternFill>
      </fill>
    </dxf>
    <dxf>
      <fill>
        <patternFill>
          <bgColor theme="8" tint="0.59996337778862885"/>
        </patternFill>
      </fill>
    </dxf>
    <dxf>
      <fill>
        <patternFill>
          <bgColor theme="5" tint="0.59996337778862885"/>
        </patternFill>
      </fill>
    </dxf>
    <dxf>
      <fill>
        <patternFill>
          <bgColor rgb="FFDDEBF7"/>
        </patternFill>
      </fill>
    </dxf>
    <dxf>
      <fill>
        <patternFill>
          <bgColor rgb="FFDDEBF7"/>
        </patternFill>
      </fill>
    </dxf>
    <dxf>
      <fill>
        <patternFill>
          <bgColor rgb="FF92D050"/>
        </patternFill>
      </fill>
    </dxf>
    <dxf>
      <fill>
        <patternFill>
          <bgColor rgb="FFFF0000"/>
        </patternFill>
      </fill>
    </dxf>
    <dxf>
      <fill>
        <patternFill>
          <bgColor rgb="FFFF0000"/>
        </patternFill>
      </fill>
    </dxf>
    <dxf>
      <fill>
        <patternFill>
          <bgColor theme="7" tint="0.79998168889431442"/>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2CC"/>
        </patternFill>
      </fill>
    </dxf>
    <dxf>
      <border>
        <left style="thin">
          <color rgb="FFFF0000"/>
        </left>
        <right style="thin">
          <color rgb="FFFF0000"/>
        </right>
        <top style="thin">
          <color rgb="FFFF0000"/>
        </top>
        <bottom style="thin">
          <color rgb="FFFF0000"/>
        </bottom>
        <vertical/>
        <horizontal/>
      </border>
    </dxf>
    <dxf>
      <fill>
        <patternFill>
          <bgColor rgb="FFFFF2CC"/>
        </patternFill>
      </fill>
    </dxf>
    <dxf>
      <fill>
        <patternFill>
          <bgColor rgb="FFFFF2CC"/>
        </patternFill>
      </fill>
    </dxf>
  </dxfs>
  <tableStyles count="0" defaultTableStyle="TableStyleMedium2" defaultPivotStyle="PivotStyleLight16"/>
  <colors>
    <mruColors>
      <color rgb="FFD0CECE"/>
      <color rgb="FFD6F4FE"/>
      <color rgb="FFFFFFFF"/>
      <color rgb="FFFFE699"/>
      <color rgb="FFC6E0B4"/>
      <color rgb="FFBDD7EE"/>
      <color rgb="FFFFF2CC"/>
      <color rgb="FFDDEBF7"/>
      <color rgb="FFFFFF99"/>
      <color rgb="FFCAF2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TP 'Zero'</a:t>
            </a:r>
            <a:r>
              <a:rPr lang="en-GB" baseline="0"/>
              <a:t> value graph</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'Graph Calculations'!$F$5:$Z$5</c:f>
              <c:numCache>
                <c:formatCode>General</c:formatCode>
                <c:ptCount val="21"/>
                <c:pt idx="0">
                  <c:v>100</c:v>
                </c:pt>
                <c:pt idx="1">
                  <c:v>95</c:v>
                </c:pt>
                <c:pt idx="2">
                  <c:v>90</c:v>
                </c:pt>
                <c:pt idx="3">
                  <c:v>85</c:v>
                </c:pt>
                <c:pt idx="4">
                  <c:v>80</c:v>
                </c:pt>
                <c:pt idx="5">
                  <c:v>75</c:v>
                </c:pt>
                <c:pt idx="6">
                  <c:v>70</c:v>
                </c:pt>
                <c:pt idx="7">
                  <c:v>65</c:v>
                </c:pt>
                <c:pt idx="8">
                  <c:v>60</c:v>
                </c:pt>
                <c:pt idx="9">
                  <c:v>55</c:v>
                </c:pt>
                <c:pt idx="10">
                  <c:v>50</c:v>
                </c:pt>
                <c:pt idx="11">
                  <c:v>45</c:v>
                </c:pt>
                <c:pt idx="12">
                  <c:v>40</c:v>
                </c:pt>
                <c:pt idx="13">
                  <c:v>35</c:v>
                </c:pt>
                <c:pt idx="14">
                  <c:v>30</c:v>
                </c:pt>
                <c:pt idx="15">
                  <c:v>25</c:v>
                </c:pt>
                <c:pt idx="16">
                  <c:v>20</c:v>
                </c:pt>
                <c:pt idx="17">
                  <c:v>15</c:v>
                </c:pt>
                <c:pt idx="18">
                  <c:v>10</c:v>
                </c:pt>
                <c:pt idx="19">
                  <c:v>5</c:v>
                </c:pt>
                <c:pt idx="20">
                  <c:v>0</c:v>
                </c:pt>
              </c:numCache>
            </c:numRef>
          </c:xVal>
          <c:yVal>
            <c:numRef>
              <c:f>'Graph Calculations'!$F$14:$Z$14</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00-4C2B-492F-93E0-30C6384BA9F1}"/>
            </c:ext>
          </c:extLst>
        </c:ser>
        <c:dLbls>
          <c:showLegendKey val="0"/>
          <c:showVal val="0"/>
          <c:showCatName val="0"/>
          <c:showSerName val="0"/>
          <c:showPercent val="0"/>
          <c:showBubbleSize val="0"/>
        </c:dLbls>
        <c:axId val="737515360"/>
        <c:axId val="737514704"/>
      </c:scatterChart>
      <c:valAx>
        <c:axId val="737515360"/>
        <c:scaling>
          <c:orientation val="minMax"/>
          <c:max val="1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aseline="0"/>
                  <a:t>% of proposed development set aside </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7514704"/>
        <c:crosses val="autoZero"/>
        <c:crossBetween val="midCat"/>
        <c:majorUnit val="5"/>
      </c:valAx>
      <c:valAx>
        <c:axId val="737514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Total phosphorous</a:t>
                </a:r>
                <a:r>
                  <a:rPr lang="en-GB" baseline="0"/>
                  <a:t> budget (Kg/year)</a:t>
                </a:r>
              </a:p>
            </c:rich>
          </c:tx>
          <c:layout>
            <c:manualLayout>
              <c:xMode val="edge"/>
              <c:yMode val="edge"/>
              <c:x val="1.2687627946617156E-2"/>
              <c:y val="0.2292142676933682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751536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15</xdr:col>
      <xdr:colOff>1342159</xdr:colOff>
      <xdr:row>2</xdr:row>
      <xdr:rowOff>60410</xdr:rowOff>
    </xdr:from>
    <xdr:to>
      <xdr:col>15</xdr:col>
      <xdr:colOff>3952508</xdr:colOff>
      <xdr:row>6</xdr:row>
      <xdr:rowOff>725713</xdr:rowOff>
    </xdr:to>
    <xdr:pic>
      <xdr:nvPicPr>
        <xdr:cNvPr id="2" name="Picture 1" descr="See the source image">
          <a:extLst>
            <a:ext uri="{FF2B5EF4-FFF2-40B4-BE49-F238E27FC236}">
              <a16:creationId xmlns:a16="http://schemas.microsoft.com/office/drawing/2014/main" id="{7DC3AFCA-7B67-4E9C-864C-6853F41453F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82" t="4554" r="3865" b="5890"/>
        <a:stretch/>
      </xdr:blipFill>
      <xdr:spPr bwMode="auto">
        <a:xfrm>
          <a:off x="13352730" y="414196"/>
          <a:ext cx="2616699" cy="12005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236797</xdr:colOff>
      <xdr:row>130</xdr:row>
      <xdr:rowOff>18789</xdr:rowOff>
    </xdr:from>
    <xdr:to>
      <xdr:col>12</xdr:col>
      <xdr:colOff>56020</xdr:colOff>
      <xdr:row>130</xdr:row>
      <xdr:rowOff>973614</xdr:rowOff>
    </xdr:to>
    <xdr:pic>
      <xdr:nvPicPr>
        <xdr:cNvPr id="4" name="Picture 3" descr="Royal HaskoningDHV company logo">
          <a:extLst>
            <a:ext uri="{FF2B5EF4-FFF2-40B4-BE49-F238E27FC236}">
              <a16:creationId xmlns:a16="http://schemas.microsoft.com/office/drawing/2014/main" id="{39785F44-A4D5-421F-A6C6-04FB76BBDA11}"/>
            </a:ext>
          </a:extLst>
        </xdr:cNvPr>
        <xdr:cNvPicPr>
          <a:picLocks noChangeAspect="1"/>
        </xdr:cNvPicPr>
      </xdr:nvPicPr>
      <xdr:blipFill>
        <a:blip xmlns:r="http://schemas.openxmlformats.org/officeDocument/2006/relationships" r:embed="rId2"/>
        <a:stretch>
          <a:fillRect/>
        </a:stretch>
      </xdr:blipFill>
      <xdr:spPr>
        <a:xfrm>
          <a:off x="5065972" y="58197489"/>
          <a:ext cx="1914552" cy="954825"/>
        </a:xfrm>
        <a:prstGeom prst="rect">
          <a:avLst/>
        </a:prstGeom>
      </xdr:spPr>
    </xdr:pic>
    <xdr:clientData/>
  </xdr:twoCellAnchor>
  <xdr:twoCellAnchor editAs="oneCell">
    <xdr:from>
      <xdr:col>12</xdr:col>
      <xdr:colOff>2041072</xdr:colOff>
      <xdr:row>3</xdr:row>
      <xdr:rowOff>9072</xdr:rowOff>
    </xdr:from>
    <xdr:to>
      <xdr:col>15</xdr:col>
      <xdr:colOff>1122590</xdr:colOff>
      <xdr:row>6</xdr:row>
      <xdr:rowOff>980622</xdr:rowOff>
    </xdr:to>
    <xdr:pic>
      <xdr:nvPicPr>
        <xdr:cNvPr id="5" name="Picture 4">
          <a:extLst>
            <a:ext uri="{FF2B5EF4-FFF2-40B4-BE49-F238E27FC236}">
              <a16:creationId xmlns:a16="http://schemas.microsoft.com/office/drawing/2014/main" id="{C8F6570F-6E9D-05D2-ED2C-69956E996F5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751786" y="517072"/>
          <a:ext cx="3381375" cy="1352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30545</xdr:colOff>
      <xdr:row>25</xdr:row>
      <xdr:rowOff>126369</xdr:rowOff>
    </xdr:from>
    <xdr:to>
      <xdr:col>21</xdr:col>
      <xdr:colOff>33618</xdr:colOff>
      <xdr:row>43</xdr:row>
      <xdr:rowOff>0</xdr:rowOff>
    </xdr:to>
    <xdr:graphicFrame macro="">
      <xdr:nvGraphicFramePr>
        <xdr:cNvPr id="2" name="Chart 1" descr="Total Phosphorus Zero value calculator graph. X axis shows the percentage of the proposed development that would be set aside. The Y axis shows the total phosphorus load. ">
          <a:extLst>
            <a:ext uri="{FF2B5EF4-FFF2-40B4-BE49-F238E27FC236}">
              <a16:creationId xmlns:a16="http://schemas.microsoft.com/office/drawing/2014/main" id="{63640F61-E7DE-49AE-85BB-57BC51CF1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47625</xdr:rowOff>
    </xdr:from>
    <xdr:to>
      <xdr:col>17</xdr:col>
      <xdr:colOff>542924</xdr:colOff>
      <xdr:row>51</xdr:row>
      <xdr:rowOff>2592</xdr:rowOff>
    </xdr:to>
    <xdr:pic>
      <xdr:nvPicPr>
        <xdr:cNvPr id="4" name="Picture 3">
          <a:extLst>
            <a:ext uri="{FF2B5EF4-FFF2-40B4-BE49-F238E27FC236}">
              <a16:creationId xmlns:a16="http://schemas.microsoft.com/office/drawing/2014/main" id="{8437944E-E728-49F6-8504-40506AE6E4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85800"/>
          <a:ext cx="10906124" cy="77178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500EF3-77F0-467A-961C-20B13BA11DE1}" name="Table1" displayName="Table1" ref="B2:H121" totalsRowShown="0" headerRowDxfId="28" dataDxfId="27" headerRowBorderDxfId="25" tableBorderDxfId="26">
  <autoFilter ref="B2:H121" xr:uid="{3C00E521-38CF-41F5-8D98-30C4E17CD153}"/>
  <tableColumns count="7">
    <tableColumn id="1" xr3:uid="{132379D4-C42C-4272-812E-BCF4A7023A8D}" name="Water Recycling Centre (WRC)" dataDxfId="23" totalsRowDxfId="24"/>
    <tableColumn id="2" xr3:uid="{D6A22126-B925-404C-A585-55B346310981}" name="2023 TP Permit limit (mg/l)" dataDxfId="21" totalsRowDxfId="22"/>
    <tableColumn id="3" xr3:uid="{9BC600AB-76A0-4516-B4DA-50BC5EC8D645}" name="2023 TP Discharge level (mg/l)" dataDxfId="19" totalsRowDxfId="20">
      <calculatedColumnFormula>Table1[[#This Row],[2023 TP Permit limit (mg/l)]]*0.9</calculatedColumnFormula>
    </tableColumn>
    <tableColumn id="4" xr3:uid="{21F8819C-8D6D-4BEC-B9B0-DA963C1AB5B1}" name="Post 2025 TP Permit limit (mg/l)" dataDxfId="17" totalsRowDxfId="18"/>
    <tableColumn id="7" xr3:uid="{AB3C6A67-6E39-4B71-B47E-1C8781DD7085}" name="Post 2025 TP Discharge level (mg/l)" dataDxfId="16">
      <calculatedColumnFormula>Table1[[#This Row],[Post 2025 TP Permit limit (mg/l)]]</calculatedColumnFormula>
    </tableColumn>
    <tableColumn id="8" xr3:uid="{F4BECF41-3F5C-4C58-BD2D-5DE270984B75}" name="Post 2030 TP Permit Limit (mg/l)" dataDxfId="14" totalsRowDxfId="15"/>
    <tableColumn id="10" xr3:uid="{87D0FDE5-3EFD-4EAA-9163-0FD84F4AF4C9}" name="Post 2030 TP Discharge level (mg/l)" dataDxfId="13">
      <calculatedColumnFormula>Table1[[#This Row],[Post 2030 TP Permit Limit (mg/l)]]</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5AE6EDE-372F-4609-9D6A-FA738BCDB466}" name="Table2" displayName="Table2" ref="K2:L9" totalsRowShown="0" headerRowDxfId="12" dataDxfId="11">
  <autoFilter ref="K2:L9" xr:uid="{307B00A4-2832-4B35-8D42-EC8056ECD36B}"/>
  <tableColumns count="2">
    <tableColumn id="1" xr3:uid="{F981CFFB-C24C-45E2-8261-567716B0350F}" name="Land Use classification" dataDxfId="10"/>
    <tableColumn id="2" xr3:uid="{34307E7B-4C87-4413-8E9E-C80DC28B03B9}" name="Leaching rate (kg / ha / yr)" dataDxfId="9"/>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654144-2481-488B-9565-63F87905A271}" name="Table3" displayName="Table3" ref="K18:L22" totalsRowShown="0" headerRowDxfId="8" dataDxfId="7" headerRowBorderDxfId="5" tableBorderDxfId="6" totalsRowBorderDxfId="4">
  <autoFilter ref="K18:L22" xr:uid="{C8654144-2481-488B-9565-63F87905A271}"/>
  <tableColumns count="2">
    <tableColumn id="1" xr3:uid="{5F34F050-241F-4B01-932B-F47E0A2DE76F}" name="Treatment type" dataDxfId="3"/>
    <tableColumn id="2" xr3:uid="{8FB3D500-BA37-4D3E-90E9-07694A8FAE99}" name="P removal" dataDxfId="2"/>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landis.org.uk/soilscapes/index.cfm" TargetMode="External"/><Relationship Id="rId7" Type="http://schemas.openxmlformats.org/officeDocument/2006/relationships/customProperty" Target="../customProperty1.bin"/><Relationship Id="rId2" Type="http://schemas.openxmlformats.org/officeDocument/2006/relationships/hyperlink" Target="https://mapapps2.bgs.ac.uk/ukso/home.html?layers=NVZEng" TargetMode="External"/><Relationship Id="rId1" Type="http://schemas.openxmlformats.org/officeDocument/2006/relationships/hyperlink" Target="https://environment.data.gov.uk/catchment-planning/ManagementCatchment/3080" TargetMode="External"/><Relationship Id="rId6" Type="http://schemas.openxmlformats.org/officeDocument/2006/relationships/printerSettings" Target="../printerSettings/printerSettings1.bin"/><Relationship Id="rId5" Type="http://schemas.openxmlformats.org/officeDocument/2006/relationships/hyperlink" Target="https://www.theseptictankstore.co.uk/wp-content/uploads/British_Water_flows_and_loads.pdf" TargetMode="External"/><Relationship Id="rId4" Type="http://schemas.openxmlformats.org/officeDocument/2006/relationships/hyperlink" Target="https://gridreferencefinder.com/" TargetMode="Externa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5" Type="http://schemas.openxmlformats.org/officeDocument/2006/relationships/table" Target="../tables/table3.xml"/><Relationship Id="rId4" Type="http://schemas.openxmlformats.org/officeDocument/2006/relationships/table" Target="../tables/table2.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14.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iria.org/CIRIA/CIRIA/Item_Detail.aspx?iProductCode=C808F&amp;Category=FREEPUBS" TargetMode="External"/><Relationship Id="rId1" Type="http://schemas.openxmlformats.org/officeDocument/2006/relationships/hyperlink" Target="https://storymaps.arcgis.com/collections/6543a2f8de0348f683187ff268a79687" TargetMode="External"/><Relationship Id="rId4"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5FB60-A6FF-4381-AFC7-8E138F60971D}">
  <sheetPr codeName="Sheet1">
    <tabColor theme="9" tint="0.79998168889431442"/>
  </sheetPr>
  <dimension ref="A1:R134"/>
  <sheetViews>
    <sheetView tabSelected="1" topLeftCell="A34" zoomScale="39" zoomScaleNormal="85" workbookViewId="0">
      <selection activeCell="T88" sqref="T88"/>
    </sheetView>
  </sheetViews>
  <sheetFormatPr defaultColWidth="0" defaultRowHeight="12.6"/>
  <cols>
    <col min="1" max="1" width="5.28515625" customWidth="1"/>
    <col min="2" max="2" width="1.140625" customWidth="1"/>
    <col min="3" max="3" width="7.42578125" customWidth="1"/>
    <col min="4" max="4" width="5.7109375" customWidth="1"/>
    <col min="5" max="5" width="8.7109375" customWidth="1"/>
    <col min="6" max="6" width="15.5703125" customWidth="1"/>
    <col min="7" max="7" width="13" customWidth="1"/>
    <col min="8" max="8" width="11.7109375" customWidth="1"/>
    <col min="9" max="9" width="11.85546875" customWidth="1"/>
    <col min="10" max="10" width="12.5703125" customWidth="1"/>
    <col min="11" max="12" width="8.7109375" customWidth="1"/>
    <col min="13" max="13" width="47.42578125" customWidth="1"/>
    <col min="14" max="14" width="8.7109375" customWidth="1"/>
    <col min="15" max="15" width="5.42578125" customWidth="1"/>
    <col min="16" max="16" width="59.7109375" customWidth="1"/>
    <col min="17" max="17" width="1.42578125" customWidth="1"/>
    <col min="18" max="18" width="8.7109375" customWidth="1"/>
    <col min="19" max="16384" width="8.85546875" hidden="1"/>
  </cols>
  <sheetData>
    <row r="1" spans="1:17" ht="13.5" thickBot="1">
      <c r="A1" s="38" t="s">
        <v>0</v>
      </c>
    </row>
    <row r="2" spans="1:17" ht="14.45" customHeight="1">
      <c r="B2" s="1"/>
      <c r="C2" s="32"/>
      <c r="D2" s="32"/>
      <c r="E2" s="32"/>
      <c r="F2" s="32"/>
      <c r="G2" s="32"/>
      <c r="H2" s="32"/>
      <c r="I2" s="32"/>
      <c r="J2" s="32"/>
      <c r="K2" s="32"/>
      <c r="L2" s="32"/>
      <c r="M2" s="32"/>
      <c r="N2" s="32"/>
      <c r="O2" s="32"/>
      <c r="P2" s="32"/>
      <c r="Q2" s="3"/>
    </row>
    <row r="3" spans="1:17" ht="12" customHeight="1">
      <c r="B3" s="4"/>
      <c r="C3" s="37" t="s">
        <v>1</v>
      </c>
      <c r="D3" s="36"/>
      <c r="E3" s="36"/>
      <c r="F3" s="36"/>
      <c r="G3" s="36"/>
      <c r="H3" s="12"/>
      <c r="I3" s="12"/>
      <c r="J3" s="12"/>
      <c r="K3" s="12"/>
      <c r="L3" s="12"/>
      <c r="M3" s="23"/>
      <c r="N3" s="12"/>
      <c r="O3" s="12"/>
      <c r="P3" s="12"/>
      <c r="Q3" s="6"/>
    </row>
    <row r="4" spans="1:17" ht="11.45" customHeight="1">
      <c r="B4" s="4"/>
      <c r="C4" s="12"/>
      <c r="D4" s="12"/>
      <c r="E4" s="12"/>
      <c r="F4" s="12"/>
      <c r="G4" s="12"/>
      <c r="H4" s="12"/>
      <c r="I4" s="12"/>
      <c r="J4" s="12"/>
      <c r="K4" s="12"/>
      <c r="L4" s="12"/>
      <c r="M4" s="12"/>
      <c r="N4" s="12"/>
      <c r="O4" s="12"/>
      <c r="P4" s="12"/>
      <c r="Q4" s="6"/>
    </row>
    <row r="5" spans="1:17" ht="6" customHeight="1">
      <c r="B5" s="4"/>
      <c r="C5" s="12"/>
      <c r="D5" s="12"/>
      <c r="E5" s="12"/>
      <c r="F5" s="12"/>
      <c r="G5" s="12"/>
      <c r="H5" s="12"/>
      <c r="I5" s="12"/>
      <c r="J5" s="12"/>
      <c r="K5" s="12"/>
      <c r="L5" s="12"/>
      <c r="M5" s="12"/>
      <c r="N5" s="12"/>
      <c r="O5" s="12"/>
      <c r="P5" s="12"/>
      <c r="Q5" s="6"/>
    </row>
    <row r="6" spans="1:17">
      <c r="B6" s="4"/>
      <c r="C6" s="5"/>
      <c r="D6" s="5"/>
      <c r="E6" s="34"/>
      <c r="F6" s="12"/>
      <c r="G6" s="12"/>
      <c r="H6" s="12"/>
      <c r="I6" s="12"/>
      <c r="J6" s="12"/>
      <c r="K6" s="12"/>
      <c r="M6" s="12"/>
      <c r="N6" s="12"/>
      <c r="O6" s="12"/>
      <c r="P6" s="12"/>
      <c r="Q6" s="6"/>
    </row>
    <row r="7" spans="1:17" ht="103.5" customHeight="1">
      <c r="B7" s="4"/>
      <c r="C7" s="391" t="s">
        <v>2</v>
      </c>
      <c r="D7" s="391"/>
      <c r="F7" s="39"/>
      <c r="G7" s="39"/>
      <c r="H7" s="68"/>
      <c r="I7" s="39"/>
      <c r="J7" s="39"/>
      <c r="K7" s="39"/>
      <c r="L7" s="39"/>
      <c r="M7" s="39"/>
      <c r="N7" s="39"/>
      <c r="O7" s="39"/>
      <c r="P7" s="39"/>
      <c r="Q7" s="6"/>
    </row>
    <row r="8" spans="1:17" ht="99" customHeight="1">
      <c r="B8" s="4"/>
      <c r="C8" s="377" t="s">
        <v>3</v>
      </c>
      <c r="D8" s="377"/>
      <c r="E8" s="377"/>
      <c r="F8" s="377"/>
      <c r="G8" s="377"/>
      <c r="H8" s="377"/>
      <c r="I8" s="377"/>
      <c r="J8" s="377"/>
      <c r="K8" s="377"/>
      <c r="L8" s="377"/>
      <c r="M8" s="377"/>
      <c r="N8" s="377"/>
      <c r="O8" s="377"/>
      <c r="P8" s="377"/>
      <c r="Q8" s="6"/>
    </row>
    <row r="9" spans="1:17" ht="23.25" customHeight="1">
      <c r="B9" s="4"/>
      <c r="C9" s="377" t="s">
        <v>4</v>
      </c>
      <c r="D9" s="377"/>
      <c r="E9" s="377"/>
      <c r="F9" s="377"/>
      <c r="G9" s="377"/>
      <c r="H9" s="377"/>
      <c r="I9" s="377"/>
      <c r="J9" s="377"/>
      <c r="K9" s="377"/>
      <c r="L9" s="377"/>
      <c r="M9" s="377"/>
      <c r="N9" s="377"/>
      <c r="O9" s="377"/>
      <c r="P9" s="377"/>
      <c r="Q9" s="6"/>
    </row>
    <row r="10" spans="1:17" ht="15.95" customHeight="1">
      <c r="B10" s="4"/>
      <c r="C10" s="377"/>
      <c r="D10" s="377"/>
      <c r="E10" s="377"/>
      <c r="F10" s="377"/>
      <c r="G10" s="377"/>
      <c r="H10" s="377"/>
      <c r="I10" s="377"/>
      <c r="J10" s="377"/>
      <c r="K10" s="377"/>
      <c r="L10" s="377"/>
      <c r="M10" s="377"/>
      <c r="N10" s="377"/>
      <c r="O10" s="377"/>
      <c r="P10" s="377"/>
      <c r="Q10" s="6"/>
    </row>
    <row r="11" spans="1:17" ht="39" customHeight="1">
      <c r="B11" s="4"/>
      <c r="C11" s="377" t="s">
        <v>5</v>
      </c>
      <c r="D11" s="377"/>
      <c r="E11" s="377"/>
      <c r="F11" s="377"/>
      <c r="G11" s="377"/>
      <c r="H11" s="377"/>
      <c r="I11" s="377"/>
      <c r="J11" s="377"/>
      <c r="K11" s="377"/>
      <c r="L11" s="377"/>
      <c r="M11" s="377"/>
      <c r="N11" s="377"/>
      <c r="O11" s="377"/>
      <c r="P11" s="377"/>
      <c r="Q11" s="6"/>
    </row>
    <row r="12" spans="1:17" ht="34.5" customHeight="1">
      <c r="B12" s="4"/>
      <c r="C12" s="396" t="s">
        <v>6</v>
      </c>
      <c r="D12" s="396"/>
      <c r="E12" s="396"/>
      <c r="F12" s="396"/>
      <c r="G12" s="396"/>
      <c r="H12" s="396"/>
      <c r="I12" s="396"/>
      <c r="J12" s="396"/>
      <c r="K12" s="396"/>
      <c r="L12" s="396"/>
      <c r="M12" s="396"/>
      <c r="N12" s="396"/>
      <c r="O12" s="396"/>
      <c r="P12" s="396"/>
      <c r="Q12" s="6"/>
    </row>
    <row r="13" spans="1:17" ht="33.950000000000003" customHeight="1">
      <c r="B13" s="4"/>
      <c r="C13" s="377" t="s">
        <v>7</v>
      </c>
      <c r="D13" s="377"/>
      <c r="E13" s="377"/>
      <c r="F13" s="377"/>
      <c r="G13" s="377"/>
      <c r="H13" s="377"/>
      <c r="I13" s="377"/>
      <c r="J13" s="377"/>
      <c r="K13" s="377"/>
      <c r="L13" s="377"/>
      <c r="M13" s="377"/>
      <c r="N13" s="377"/>
      <c r="O13" s="377"/>
      <c r="P13" s="377"/>
      <c r="Q13" s="6"/>
    </row>
    <row r="14" spans="1:17" ht="19.5" customHeight="1">
      <c r="B14" s="4"/>
      <c r="C14" s="377" t="s">
        <v>8</v>
      </c>
      <c r="D14" s="377"/>
      <c r="E14" s="377"/>
      <c r="F14" s="377"/>
      <c r="G14" s="377"/>
      <c r="H14" s="377"/>
      <c r="I14" s="377"/>
      <c r="J14" s="377"/>
      <c r="K14" s="377"/>
      <c r="L14" s="377"/>
      <c r="M14" s="377"/>
      <c r="N14" s="377"/>
      <c r="O14" s="377"/>
      <c r="P14" s="377"/>
      <c r="Q14" s="6"/>
    </row>
    <row r="15" spans="1:17" ht="147.75" customHeight="1">
      <c r="B15" s="4"/>
      <c r="C15" s="377"/>
      <c r="D15" s="377"/>
      <c r="E15" s="377"/>
      <c r="F15" s="377"/>
      <c r="G15" s="377"/>
      <c r="H15" s="377"/>
      <c r="I15" s="377"/>
      <c r="J15" s="377"/>
      <c r="K15" s="377"/>
      <c r="L15" s="377"/>
      <c r="M15" s="377"/>
      <c r="N15" s="377"/>
      <c r="O15" s="377"/>
      <c r="P15" s="377"/>
      <c r="Q15" s="6"/>
    </row>
    <row r="16" spans="1:17" ht="17.25" customHeight="1">
      <c r="B16" s="4"/>
      <c r="C16" s="252"/>
      <c r="D16" s="47"/>
      <c r="E16" s="47"/>
      <c r="F16" s="47"/>
      <c r="G16" s="47"/>
      <c r="H16" s="47"/>
      <c r="I16" s="47"/>
      <c r="J16" s="47"/>
      <c r="K16" s="101"/>
      <c r="L16" s="101"/>
      <c r="M16" s="101"/>
      <c r="N16" s="101"/>
      <c r="O16" s="101"/>
      <c r="P16" s="101"/>
      <c r="Q16" s="6"/>
    </row>
    <row r="17" spans="2:17" ht="5.25" customHeight="1">
      <c r="B17" s="4"/>
      <c r="C17" s="37"/>
      <c r="D17" s="47"/>
      <c r="E17" s="47"/>
      <c r="F17" s="47"/>
      <c r="G17" s="47"/>
      <c r="H17" s="47"/>
      <c r="I17" s="47"/>
      <c r="J17" s="47"/>
      <c r="K17" s="101"/>
      <c r="L17" s="101"/>
      <c r="M17" s="101"/>
      <c r="N17" s="101"/>
      <c r="O17" s="101"/>
      <c r="P17" s="101"/>
      <c r="Q17" s="6"/>
    </row>
    <row r="18" spans="2:17" ht="56.25" customHeight="1">
      <c r="B18" s="4"/>
      <c r="C18" s="377" t="s">
        <v>9</v>
      </c>
      <c r="D18" s="377"/>
      <c r="E18" s="377"/>
      <c r="F18" s="377"/>
      <c r="G18" s="377"/>
      <c r="H18" s="377"/>
      <c r="I18" s="377"/>
      <c r="J18" s="377"/>
      <c r="K18" s="377"/>
      <c r="L18" s="377"/>
      <c r="M18" s="377"/>
      <c r="N18" s="377"/>
      <c r="O18" s="377"/>
      <c r="P18" s="377"/>
      <c r="Q18" s="6"/>
    </row>
    <row r="19" spans="2:17" ht="15.95" customHeight="1">
      <c r="B19" s="4"/>
      <c r="C19" s="394" t="s">
        <v>10</v>
      </c>
      <c r="D19" s="394"/>
      <c r="E19" s="394"/>
      <c r="F19" s="394"/>
      <c r="G19" s="394"/>
      <c r="H19" s="394"/>
      <c r="I19" s="394"/>
      <c r="J19" s="394"/>
      <c r="K19" s="394"/>
      <c r="L19" s="394"/>
      <c r="M19" s="394"/>
      <c r="N19" s="101"/>
      <c r="O19" s="101"/>
      <c r="P19" s="101"/>
      <c r="Q19" s="6"/>
    </row>
    <row r="20" spans="2:17" ht="44.45" customHeight="1">
      <c r="B20" s="4"/>
      <c r="C20" s="377" t="s">
        <v>11</v>
      </c>
      <c r="D20" s="377"/>
      <c r="E20" s="377"/>
      <c r="F20" s="377"/>
      <c r="G20" s="377"/>
      <c r="H20" s="377"/>
      <c r="I20" s="377"/>
      <c r="J20" s="377"/>
      <c r="K20" s="377"/>
      <c r="L20" s="377"/>
      <c r="M20" s="377"/>
      <c r="N20" s="377"/>
      <c r="O20" s="377"/>
      <c r="P20" s="377"/>
      <c r="Q20" s="6"/>
    </row>
    <row r="21" spans="2:17" ht="98.25" customHeight="1">
      <c r="B21" s="4"/>
      <c r="C21" s="377" t="s">
        <v>12</v>
      </c>
      <c r="D21" s="377"/>
      <c r="E21" s="377"/>
      <c r="F21" s="377"/>
      <c r="G21" s="377"/>
      <c r="H21" s="377"/>
      <c r="I21" s="377"/>
      <c r="J21" s="377"/>
      <c r="K21" s="377"/>
      <c r="L21" s="377"/>
      <c r="M21" s="377"/>
      <c r="N21" s="377"/>
      <c r="O21" s="377"/>
      <c r="P21" s="377"/>
      <c r="Q21" s="6"/>
    </row>
    <row r="22" spans="2:17" ht="31.5" customHeight="1">
      <c r="B22" s="4"/>
      <c r="C22" s="394" t="s">
        <v>13</v>
      </c>
      <c r="D22" s="394"/>
      <c r="E22" s="394"/>
      <c r="F22" s="394"/>
      <c r="G22" s="394"/>
      <c r="H22" s="394"/>
      <c r="I22" s="394"/>
      <c r="J22" s="394"/>
      <c r="K22" s="394"/>
      <c r="L22" s="394"/>
      <c r="M22" s="394"/>
      <c r="N22" s="101"/>
      <c r="O22" s="101"/>
      <c r="P22" s="101"/>
      <c r="Q22" s="6"/>
    </row>
    <row r="23" spans="2:17" ht="15.95" customHeight="1">
      <c r="B23" s="4"/>
      <c r="C23" s="394" t="s">
        <v>14</v>
      </c>
      <c r="D23" s="394"/>
      <c r="E23" s="394"/>
      <c r="F23" s="394"/>
      <c r="G23" s="394"/>
      <c r="H23" s="394"/>
      <c r="I23" s="394"/>
      <c r="J23" s="394"/>
      <c r="K23" s="394"/>
      <c r="L23" s="394"/>
      <c r="M23" s="394"/>
      <c r="N23" s="101"/>
      <c r="O23" s="101"/>
      <c r="P23" s="101"/>
      <c r="Q23" s="6"/>
    </row>
    <row r="24" spans="2:17" ht="9.75" customHeight="1">
      <c r="B24" s="4"/>
      <c r="C24" s="102"/>
      <c r="D24" s="102"/>
      <c r="E24" s="102"/>
      <c r="F24" s="102"/>
      <c r="G24" s="102"/>
      <c r="H24" s="102"/>
      <c r="I24" s="102"/>
      <c r="J24" s="102"/>
      <c r="K24" s="102"/>
      <c r="L24" s="102"/>
      <c r="M24" s="102"/>
      <c r="N24" s="102"/>
      <c r="O24" s="102"/>
      <c r="P24" s="102"/>
      <c r="Q24" s="6"/>
    </row>
    <row r="25" spans="2:17" ht="15.6">
      <c r="B25" s="4"/>
      <c r="C25" s="392" t="s">
        <v>15</v>
      </c>
      <c r="D25" s="392"/>
      <c r="E25" s="47"/>
      <c r="F25" s="47"/>
      <c r="G25" s="47"/>
      <c r="H25" s="47"/>
      <c r="I25" s="47"/>
      <c r="J25" s="47"/>
      <c r="K25" s="47"/>
      <c r="L25" s="47"/>
      <c r="M25" s="47"/>
      <c r="N25" s="47"/>
      <c r="O25" s="47"/>
      <c r="P25" s="47"/>
      <c r="Q25" s="6"/>
    </row>
    <row r="26" spans="2:17" ht="5.45" customHeight="1">
      <c r="B26" s="4"/>
      <c r="C26" s="47"/>
      <c r="D26" s="47"/>
      <c r="E26" s="47"/>
      <c r="F26" s="47"/>
      <c r="G26" s="47"/>
      <c r="H26" s="47"/>
      <c r="I26" s="47"/>
      <c r="J26" s="47"/>
      <c r="K26" s="47"/>
      <c r="L26" s="47"/>
      <c r="M26" s="47"/>
      <c r="N26" s="47"/>
      <c r="O26" s="47"/>
      <c r="P26" s="47"/>
      <c r="Q26" s="6"/>
    </row>
    <row r="27" spans="2:17" ht="15.6">
      <c r="B27" s="4"/>
      <c r="C27" s="394" t="s">
        <v>16</v>
      </c>
      <c r="D27" s="394"/>
      <c r="E27" s="394"/>
      <c r="F27" s="394"/>
      <c r="G27" s="394"/>
      <c r="H27" s="394"/>
      <c r="I27" s="394"/>
      <c r="J27" s="394"/>
      <c r="K27" s="394"/>
      <c r="L27" s="394"/>
      <c r="M27" s="47"/>
      <c r="N27" s="47"/>
      <c r="O27" s="47"/>
      <c r="P27" s="47"/>
      <c r="Q27" s="6"/>
    </row>
    <row r="28" spans="2:17" ht="15.6">
      <c r="B28" s="4"/>
      <c r="C28" s="101"/>
      <c r="D28" s="47"/>
      <c r="E28" s="47"/>
      <c r="F28" s="47"/>
      <c r="G28" s="47"/>
      <c r="H28" s="47"/>
      <c r="I28" s="47"/>
      <c r="J28" s="47"/>
      <c r="K28" s="47"/>
      <c r="L28" s="47"/>
      <c r="M28" s="47"/>
      <c r="N28" s="47"/>
      <c r="O28" s="47"/>
      <c r="P28" s="47"/>
      <c r="Q28" s="6"/>
    </row>
    <row r="29" spans="2:17" ht="15.6">
      <c r="B29" s="4"/>
      <c r="C29" s="116"/>
      <c r="D29" s="47"/>
      <c r="E29" s="394" t="s">
        <v>17</v>
      </c>
      <c r="F29" s="394"/>
      <c r="G29" s="394"/>
      <c r="H29" s="394"/>
      <c r="I29" s="394"/>
      <c r="J29" s="394"/>
      <c r="K29" s="394"/>
      <c r="L29" s="394"/>
      <c r="M29" s="47"/>
      <c r="N29" s="47"/>
      <c r="O29" s="47"/>
      <c r="P29" s="47"/>
      <c r="Q29" s="6"/>
    </row>
    <row r="30" spans="2:17" ht="15.6">
      <c r="B30" s="4"/>
      <c r="C30" s="117"/>
      <c r="D30" s="47"/>
      <c r="E30" s="394" t="s">
        <v>18</v>
      </c>
      <c r="F30" s="394"/>
      <c r="G30" s="394"/>
      <c r="H30" s="394"/>
      <c r="I30" s="394"/>
      <c r="J30" s="394"/>
      <c r="K30" s="394"/>
      <c r="L30" s="394"/>
      <c r="M30" s="47"/>
      <c r="N30" s="47"/>
      <c r="O30" s="47"/>
      <c r="P30" s="47"/>
      <c r="Q30" s="6"/>
    </row>
    <row r="31" spans="2:17" ht="15.6">
      <c r="B31" s="4"/>
      <c r="C31" s="47"/>
      <c r="D31" s="47"/>
      <c r="E31" s="47"/>
      <c r="F31" s="47"/>
      <c r="G31" s="47"/>
      <c r="H31" s="47"/>
      <c r="I31" s="47"/>
      <c r="J31" s="47"/>
      <c r="K31" s="47"/>
      <c r="L31" s="47"/>
      <c r="M31" s="47"/>
      <c r="N31" s="47"/>
      <c r="O31" s="47"/>
      <c r="P31" s="47"/>
      <c r="Q31" s="6"/>
    </row>
    <row r="32" spans="2:17" ht="15.6">
      <c r="B32" s="4"/>
      <c r="C32" s="393" t="s">
        <v>19</v>
      </c>
      <c r="D32" s="393"/>
      <c r="E32" s="37"/>
      <c r="F32" s="37"/>
      <c r="G32" s="37"/>
      <c r="H32" s="37"/>
      <c r="I32" s="37"/>
      <c r="J32" s="37"/>
      <c r="K32" s="37"/>
      <c r="L32" s="37"/>
      <c r="M32" s="37"/>
      <c r="N32" s="37"/>
      <c r="O32" s="37"/>
      <c r="P32" s="37"/>
      <c r="Q32" s="6"/>
    </row>
    <row r="33" spans="2:17" ht="13.5" customHeight="1">
      <c r="B33" s="4"/>
      <c r="C33" s="105"/>
      <c r="D33" s="105"/>
      <c r="E33" s="105"/>
      <c r="F33" s="105"/>
      <c r="G33" s="105"/>
      <c r="H33" s="105"/>
      <c r="I33" s="105"/>
      <c r="J33" s="105"/>
      <c r="K33" s="105"/>
      <c r="L33" s="105"/>
      <c r="M33" s="105"/>
      <c r="N33" s="105"/>
      <c r="O33" s="105"/>
      <c r="P33" s="105"/>
      <c r="Q33" s="6"/>
    </row>
    <row r="34" spans="2:17" ht="258.95" customHeight="1">
      <c r="B34" s="4"/>
      <c r="C34" s="395" t="s">
        <v>20</v>
      </c>
      <c r="D34" s="395"/>
      <c r="E34" s="395"/>
      <c r="F34" s="395"/>
      <c r="G34" s="395"/>
      <c r="H34" s="395"/>
      <c r="I34" s="395"/>
      <c r="J34" s="395"/>
      <c r="K34" s="395"/>
      <c r="L34" s="395"/>
      <c r="M34" s="395"/>
      <c r="N34" s="395"/>
      <c r="O34" s="395"/>
      <c r="P34" s="395"/>
      <c r="Q34" s="6"/>
    </row>
    <row r="35" spans="2:17" ht="15.6">
      <c r="B35" s="4"/>
      <c r="C35" s="393" t="s">
        <v>21</v>
      </c>
      <c r="D35" s="393"/>
      <c r="E35" s="37"/>
      <c r="F35" s="37"/>
      <c r="G35" s="37"/>
      <c r="H35" s="37"/>
      <c r="I35" s="37"/>
      <c r="J35" s="37"/>
      <c r="K35" s="37"/>
      <c r="L35" s="37"/>
      <c r="M35" s="37"/>
      <c r="N35" s="37"/>
      <c r="O35" s="37"/>
      <c r="P35" s="37"/>
      <c r="Q35" s="6"/>
    </row>
    <row r="36" spans="2:17" ht="3.95" customHeight="1">
      <c r="B36" s="4"/>
      <c r="C36" s="37"/>
      <c r="D36" s="37"/>
      <c r="E36" s="37"/>
      <c r="F36" s="37"/>
      <c r="G36" s="37"/>
      <c r="H36" s="37"/>
      <c r="I36" s="37"/>
      <c r="J36" s="37"/>
      <c r="K36" s="37"/>
      <c r="L36" s="37"/>
      <c r="M36" s="37"/>
      <c r="N36" s="37"/>
      <c r="O36" s="37"/>
      <c r="P36" s="37"/>
      <c r="Q36" s="6"/>
    </row>
    <row r="37" spans="2:17" ht="122.25" customHeight="1">
      <c r="B37" s="4"/>
      <c r="C37" s="412" t="s">
        <v>22</v>
      </c>
      <c r="D37" s="412"/>
      <c r="E37" s="412"/>
      <c r="F37" s="412"/>
      <c r="G37" s="412"/>
      <c r="H37" s="412"/>
      <c r="I37" s="412"/>
      <c r="J37" s="412"/>
      <c r="K37" s="412"/>
      <c r="L37" s="412"/>
      <c r="M37" s="412"/>
      <c r="N37" s="412"/>
      <c r="O37" s="412"/>
      <c r="P37" s="412"/>
      <c r="Q37" s="6"/>
    </row>
    <row r="38" spans="2:17" ht="8.4499999999999993" customHeight="1">
      <c r="B38" s="4"/>
      <c r="C38" s="37"/>
      <c r="D38" s="37"/>
      <c r="E38" s="37"/>
      <c r="F38" s="37"/>
      <c r="G38" s="37"/>
      <c r="H38" s="37"/>
      <c r="I38" s="37"/>
      <c r="J38" s="37"/>
      <c r="K38" s="37"/>
      <c r="L38" s="37"/>
      <c r="M38" s="37"/>
      <c r="N38" s="37"/>
      <c r="O38" s="37"/>
      <c r="P38" s="37"/>
      <c r="Q38" s="6"/>
    </row>
    <row r="39" spans="2:17" ht="15.6">
      <c r="B39" s="4"/>
      <c r="C39" s="393" t="s">
        <v>23</v>
      </c>
      <c r="D39" s="393"/>
      <c r="E39" s="37"/>
      <c r="F39" s="37"/>
      <c r="G39" s="37"/>
      <c r="H39" s="37"/>
      <c r="I39" s="37"/>
      <c r="J39" s="37"/>
      <c r="K39" s="37"/>
      <c r="L39" s="37"/>
      <c r="M39" s="37"/>
      <c r="N39" s="37"/>
      <c r="O39" s="37"/>
      <c r="P39" s="37"/>
      <c r="Q39" s="6"/>
    </row>
    <row r="40" spans="2:17" ht="3" customHeight="1">
      <c r="B40" s="4"/>
      <c r="C40" s="37"/>
      <c r="D40" s="37"/>
      <c r="E40" s="37"/>
      <c r="F40" s="37"/>
      <c r="G40" s="37"/>
      <c r="H40" s="37"/>
      <c r="I40" s="37"/>
      <c r="J40" s="37"/>
      <c r="K40" s="37"/>
      <c r="L40" s="37"/>
      <c r="M40" s="37"/>
      <c r="N40" s="37"/>
      <c r="O40" s="37"/>
      <c r="P40" s="37"/>
      <c r="Q40" s="6"/>
    </row>
    <row r="41" spans="2:17" ht="87.75" customHeight="1">
      <c r="B41" s="4"/>
      <c r="C41" s="377" t="s">
        <v>24</v>
      </c>
      <c r="D41" s="377"/>
      <c r="E41" s="377"/>
      <c r="F41" s="377"/>
      <c r="G41" s="377"/>
      <c r="H41" s="377"/>
      <c r="I41" s="377"/>
      <c r="J41" s="377"/>
      <c r="K41" s="377"/>
      <c r="L41" s="377"/>
      <c r="M41" s="377"/>
      <c r="N41" s="377"/>
      <c r="O41" s="377"/>
      <c r="P41" s="377"/>
      <c r="Q41" s="6"/>
    </row>
    <row r="42" spans="2:17" ht="4.5" customHeight="1">
      <c r="B42" s="4"/>
      <c r="C42" s="37"/>
      <c r="D42" s="37"/>
      <c r="E42" s="37"/>
      <c r="F42" s="37"/>
      <c r="G42" s="37"/>
      <c r="H42" s="37"/>
      <c r="I42" s="37"/>
      <c r="J42" s="37"/>
      <c r="K42" s="37"/>
      <c r="L42" s="37"/>
      <c r="M42" s="37"/>
      <c r="N42" s="37"/>
      <c r="O42" s="37"/>
      <c r="P42" s="37"/>
      <c r="Q42" s="6"/>
    </row>
    <row r="43" spans="2:17" ht="19.5" customHeight="1">
      <c r="B43" s="4"/>
      <c r="C43" s="393" t="s">
        <v>25</v>
      </c>
      <c r="D43" s="393"/>
      <c r="E43" s="37"/>
      <c r="F43" s="37"/>
      <c r="G43" s="37"/>
      <c r="H43" s="37"/>
      <c r="I43" s="37"/>
      <c r="J43" s="37"/>
      <c r="K43" s="37"/>
      <c r="L43" s="37"/>
      <c r="M43" s="37"/>
      <c r="N43" s="37"/>
      <c r="O43" s="37"/>
      <c r="P43" s="37"/>
      <c r="Q43" s="6"/>
    </row>
    <row r="44" spans="2:17" ht="5.25" customHeight="1">
      <c r="B44" s="4"/>
      <c r="C44" s="37"/>
      <c r="D44" s="37"/>
      <c r="E44" s="37"/>
      <c r="F44" s="37"/>
      <c r="G44" s="37"/>
      <c r="H44" s="37"/>
      <c r="I44" s="37"/>
      <c r="J44" s="37"/>
      <c r="K44" s="37"/>
      <c r="L44" s="37"/>
      <c r="M44" s="37"/>
      <c r="N44" s="37"/>
      <c r="O44" s="37"/>
      <c r="P44" s="37"/>
      <c r="Q44" s="6"/>
    </row>
    <row r="45" spans="2:17" ht="66.95" customHeight="1">
      <c r="B45" s="4"/>
      <c r="C45" s="377" t="s">
        <v>26</v>
      </c>
      <c r="D45" s="377"/>
      <c r="E45" s="377"/>
      <c r="F45" s="377"/>
      <c r="G45" s="377"/>
      <c r="H45" s="377"/>
      <c r="I45" s="377"/>
      <c r="J45" s="377"/>
      <c r="K45" s="377"/>
      <c r="L45" s="377"/>
      <c r="M45" s="377"/>
      <c r="N45" s="377"/>
      <c r="O45" s="377"/>
      <c r="P45" s="377"/>
      <c r="Q45" s="6"/>
    </row>
    <row r="46" spans="2:17" ht="5.25" customHeight="1">
      <c r="B46" s="4"/>
      <c r="C46" s="37"/>
      <c r="D46" s="37"/>
      <c r="E46" s="37"/>
      <c r="F46" s="37"/>
      <c r="G46" s="37"/>
      <c r="H46" s="37"/>
      <c r="I46" s="37"/>
      <c r="J46" s="37"/>
      <c r="K46" s="37"/>
      <c r="L46" s="37"/>
      <c r="M46" s="37"/>
      <c r="N46" s="37"/>
      <c r="O46" s="37"/>
      <c r="P46" s="37"/>
      <c r="Q46" s="6"/>
    </row>
    <row r="47" spans="2:17" ht="15.6">
      <c r="B47" s="4"/>
      <c r="C47" s="393" t="s">
        <v>27</v>
      </c>
      <c r="D47" s="393"/>
      <c r="E47" s="393"/>
      <c r="F47" s="37"/>
      <c r="G47" s="37"/>
      <c r="H47" s="37"/>
      <c r="I47" s="37"/>
      <c r="J47" s="37"/>
      <c r="K47" s="37"/>
      <c r="L47" s="37"/>
      <c r="M47" s="37"/>
      <c r="N47" s="37"/>
      <c r="O47" s="37"/>
      <c r="P47" s="37"/>
      <c r="Q47" s="6"/>
    </row>
    <row r="48" spans="2:17" ht="4.5" customHeight="1">
      <c r="B48" s="4"/>
      <c r="C48" s="37"/>
      <c r="D48" s="37"/>
      <c r="E48" s="37"/>
      <c r="F48" s="37"/>
      <c r="G48" s="37"/>
      <c r="H48" s="37"/>
      <c r="I48" s="37"/>
      <c r="J48" s="37"/>
      <c r="K48" s="37"/>
      <c r="L48" s="37"/>
      <c r="M48" s="37"/>
      <c r="N48" s="37"/>
      <c r="O48" s="37"/>
      <c r="P48" s="37"/>
      <c r="Q48" s="6"/>
    </row>
    <row r="49" spans="2:17" ht="233.25" customHeight="1">
      <c r="B49" s="4"/>
      <c r="C49" s="377" t="s">
        <v>28</v>
      </c>
      <c r="D49" s="377"/>
      <c r="E49" s="377"/>
      <c r="F49" s="377"/>
      <c r="G49" s="377"/>
      <c r="H49" s="377"/>
      <c r="I49" s="377"/>
      <c r="J49" s="377"/>
      <c r="K49" s="377"/>
      <c r="L49" s="377"/>
      <c r="M49" s="377"/>
      <c r="N49" s="377"/>
      <c r="O49" s="377"/>
      <c r="P49" s="377"/>
      <c r="Q49" s="6"/>
    </row>
    <row r="50" spans="2:17" ht="4.5" customHeight="1">
      <c r="B50" s="4"/>
      <c r="C50" s="47"/>
      <c r="D50" s="47"/>
      <c r="E50" s="47"/>
      <c r="F50" s="47"/>
      <c r="G50" s="47"/>
      <c r="H50" s="47"/>
      <c r="I50" s="47"/>
      <c r="J50" s="47"/>
      <c r="K50" s="47"/>
      <c r="L50" s="47"/>
      <c r="M50" s="47"/>
      <c r="N50" s="47"/>
      <c r="O50" s="47"/>
      <c r="P50" s="47"/>
      <c r="Q50" s="6"/>
    </row>
    <row r="51" spans="2:17" ht="15.6">
      <c r="B51" s="4"/>
      <c r="C51" s="393" t="s">
        <v>29</v>
      </c>
      <c r="D51" s="393"/>
      <c r="E51" s="393"/>
      <c r="F51" s="393"/>
      <c r="G51" s="47"/>
      <c r="H51" s="47"/>
      <c r="I51" s="47"/>
      <c r="J51" s="47"/>
      <c r="K51" s="47"/>
      <c r="L51" s="47"/>
      <c r="M51" s="47"/>
      <c r="N51" s="47"/>
      <c r="O51" s="47"/>
      <c r="P51" s="47"/>
      <c r="Q51" s="6"/>
    </row>
    <row r="52" spans="2:17" ht="4.5" customHeight="1">
      <c r="B52" s="4"/>
      <c r="C52" s="37"/>
      <c r="D52" s="47"/>
      <c r="E52" s="47"/>
      <c r="F52" s="47"/>
      <c r="G52" s="47"/>
      <c r="H52" s="47"/>
      <c r="I52" s="47"/>
      <c r="J52" s="47"/>
      <c r="K52" s="47"/>
      <c r="L52" s="47"/>
      <c r="M52" s="47"/>
      <c r="N52" s="47"/>
      <c r="O52" s="47"/>
      <c r="P52" s="47"/>
      <c r="Q52" s="6"/>
    </row>
    <row r="53" spans="2:17" ht="38.450000000000003" customHeight="1">
      <c r="B53" s="4"/>
      <c r="C53" s="377" t="s">
        <v>30</v>
      </c>
      <c r="D53" s="377"/>
      <c r="E53" s="377"/>
      <c r="F53" s="377"/>
      <c r="G53" s="377"/>
      <c r="H53" s="377"/>
      <c r="I53" s="377"/>
      <c r="J53" s="377"/>
      <c r="K53" s="377"/>
      <c r="L53" s="377"/>
      <c r="M53" s="377"/>
      <c r="N53" s="377"/>
      <c r="O53" s="377"/>
      <c r="P53" s="377"/>
      <c r="Q53" s="6"/>
    </row>
    <row r="54" spans="2:17" ht="6.95" customHeight="1">
      <c r="B54" s="4"/>
      <c r="C54" s="47"/>
      <c r="D54" s="47"/>
      <c r="E54" s="47"/>
      <c r="F54" s="47"/>
      <c r="G54" s="47"/>
      <c r="H54" s="47"/>
      <c r="I54" s="47"/>
      <c r="J54" s="47"/>
      <c r="K54" s="47"/>
      <c r="L54" s="47"/>
      <c r="M54" s="47"/>
      <c r="N54" s="47"/>
      <c r="O54" s="47"/>
      <c r="P54" s="47"/>
      <c r="Q54" s="6"/>
    </row>
    <row r="55" spans="2:17" ht="15.6">
      <c r="B55" s="4"/>
      <c r="C55" s="393" t="s">
        <v>31</v>
      </c>
      <c r="D55" s="393"/>
      <c r="E55" s="393"/>
      <c r="F55" s="393"/>
      <c r="G55" s="47"/>
      <c r="H55" s="47"/>
      <c r="I55" s="47"/>
      <c r="J55" s="47"/>
      <c r="K55" s="47"/>
      <c r="L55" s="47"/>
      <c r="M55" s="47"/>
      <c r="N55" s="47"/>
      <c r="O55" s="47"/>
      <c r="P55" s="47"/>
      <c r="Q55" s="6"/>
    </row>
    <row r="56" spans="2:17" ht="5.25" customHeight="1">
      <c r="B56" s="4"/>
      <c r="C56" s="37"/>
      <c r="D56" s="47"/>
      <c r="E56" s="47"/>
      <c r="F56" s="47"/>
      <c r="G56" s="47"/>
      <c r="H56" s="47"/>
      <c r="I56" s="47"/>
      <c r="J56" s="47"/>
      <c r="K56" s="47"/>
      <c r="L56" s="47"/>
      <c r="M56" s="47"/>
      <c r="N56" s="47"/>
      <c r="O56" s="47"/>
      <c r="P56" s="47"/>
      <c r="Q56" s="6"/>
    </row>
    <row r="57" spans="2:17" ht="33.950000000000003" customHeight="1">
      <c r="B57" s="4"/>
      <c r="C57" s="377" t="s">
        <v>32</v>
      </c>
      <c r="D57" s="377"/>
      <c r="E57" s="377"/>
      <c r="F57" s="377"/>
      <c r="G57" s="377"/>
      <c r="H57" s="377"/>
      <c r="I57" s="377"/>
      <c r="J57" s="377"/>
      <c r="K57" s="377"/>
      <c r="L57" s="377"/>
      <c r="M57" s="377"/>
      <c r="N57" s="377"/>
      <c r="O57" s="377"/>
      <c r="P57" s="377"/>
      <c r="Q57" s="6"/>
    </row>
    <row r="58" spans="2:17" ht="9" customHeight="1">
      <c r="B58" s="4"/>
      <c r="C58" s="102"/>
      <c r="D58" s="102"/>
      <c r="E58" s="102"/>
      <c r="F58" s="102"/>
      <c r="G58" s="102"/>
      <c r="H58" s="102"/>
      <c r="I58" s="102"/>
      <c r="J58" s="102"/>
      <c r="K58" s="102"/>
      <c r="L58" s="102"/>
      <c r="M58" s="102"/>
      <c r="N58" s="102"/>
      <c r="O58" s="102"/>
      <c r="P58" s="102"/>
      <c r="Q58" s="6"/>
    </row>
    <row r="59" spans="2:17" ht="18.95" customHeight="1">
      <c r="B59" s="4"/>
      <c r="C59" s="393" t="s">
        <v>33</v>
      </c>
      <c r="D59" s="393"/>
      <c r="E59" s="393"/>
      <c r="F59" s="393"/>
      <c r="G59" s="47"/>
      <c r="H59" s="47"/>
      <c r="I59" s="47"/>
      <c r="J59" s="47"/>
      <c r="K59" s="47"/>
      <c r="L59" s="47"/>
      <c r="M59" s="47"/>
      <c r="N59" s="47"/>
      <c r="O59" s="47"/>
      <c r="P59" s="47"/>
      <c r="Q59" s="6"/>
    </row>
    <row r="60" spans="2:17" ht="4.5" customHeight="1">
      <c r="B60" s="4"/>
      <c r="C60" s="47"/>
      <c r="D60" s="47"/>
      <c r="E60" s="47"/>
      <c r="F60" s="47"/>
      <c r="G60" s="47"/>
      <c r="H60" s="47"/>
      <c r="I60" s="47"/>
      <c r="J60" s="47"/>
      <c r="K60" s="47"/>
      <c r="L60" s="47"/>
      <c r="M60" s="47"/>
      <c r="N60" s="47"/>
      <c r="O60" s="47"/>
      <c r="P60" s="47"/>
      <c r="Q60" s="6"/>
    </row>
    <row r="61" spans="2:17" ht="16.5" customHeight="1">
      <c r="B61" s="4"/>
      <c r="C61" s="377" t="s">
        <v>34</v>
      </c>
      <c r="D61" s="377"/>
      <c r="E61" s="377"/>
      <c r="F61" s="377"/>
      <c r="G61" s="377"/>
      <c r="H61" s="377"/>
      <c r="I61" s="377"/>
      <c r="J61" s="377"/>
      <c r="K61" s="377"/>
      <c r="L61" s="377"/>
      <c r="M61" s="377"/>
      <c r="N61" s="377"/>
      <c r="O61" s="377"/>
      <c r="P61" s="377"/>
      <c r="Q61" s="6"/>
    </row>
    <row r="62" spans="2:17" ht="9.75" customHeight="1">
      <c r="B62" s="4"/>
      <c r="C62" s="102"/>
      <c r="D62" s="102"/>
      <c r="E62" s="102"/>
      <c r="F62" s="102"/>
      <c r="G62" s="102"/>
      <c r="H62" s="102"/>
      <c r="I62" s="102"/>
      <c r="J62" s="102"/>
      <c r="K62" s="102"/>
      <c r="L62" s="102"/>
      <c r="M62" s="102"/>
      <c r="N62" s="102"/>
      <c r="O62" s="102"/>
      <c r="P62" s="102"/>
      <c r="Q62" s="6"/>
    </row>
    <row r="63" spans="2:17" ht="16.5" customHeight="1">
      <c r="B63" s="4"/>
      <c r="C63" s="392" t="s">
        <v>35</v>
      </c>
      <c r="D63" s="392"/>
      <c r="E63" s="392"/>
      <c r="F63" s="47"/>
      <c r="G63" s="47"/>
      <c r="H63" s="47"/>
      <c r="I63" s="47"/>
      <c r="J63" s="47"/>
      <c r="K63" s="47"/>
      <c r="L63" s="47"/>
      <c r="M63" s="47"/>
      <c r="N63" s="47"/>
      <c r="O63" s="47"/>
      <c r="P63" s="47"/>
      <c r="Q63" s="6"/>
    </row>
    <row r="64" spans="2:17" ht="15.6">
      <c r="B64" s="4"/>
      <c r="C64" s="394" t="s">
        <v>36</v>
      </c>
      <c r="D64" s="394"/>
      <c r="E64" s="394"/>
      <c r="F64" s="394"/>
      <c r="G64" s="394"/>
      <c r="H64" s="394"/>
      <c r="I64" s="394"/>
      <c r="J64" s="394"/>
      <c r="K64" s="394"/>
      <c r="L64" s="394"/>
      <c r="M64" s="394"/>
      <c r="N64" s="101"/>
      <c r="O64" s="101"/>
      <c r="P64" s="101"/>
      <c r="Q64" s="6"/>
    </row>
    <row r="65" spans="2:17" ht="15.6">
      <c r="B65" s="4"/>
      <c r="C65" s="47"/>
      <c r="D65" s="47"/>
      <c r="E65" s="47"/>
      <c r="F65" s="47"/>
      <c r="G65" s="47"/>
      <c r="H65" s="47"/>
      <c r="I65" s="47"/>
      <c r="J65" s="47"/>
      <c r="K65" s="47"/>
      <c r="L65" s="47"/>
      <c r="M65" s="47"/>
      <c r="N65" s="47"/>
      <c r="O65" s="47"/>
      <c r="P65" s="47"/>
      <c r="Q65" s="6"/>
    </row>
    <row r="66" spans="2:17" ht="15.6">
      <c r="B66" s="4"/>
      <c r="C66" s="404" t="s">
        <v>37</v>
      </c>
      <c r="D66" s="404"/>
      <c r="E66" s="404"/>
      <c r="F66" s="404"/>
      <c r="G66" s="404" t="s">
        <v>38</v>
      </c>
      <c r="H66" s="404"/>
      <c r="I66" s="404"/>
      <c r="J66" s="404"/>
      <c r="K66" s="404"/>
      <c r="L66" s="404"/>
      <c r="M66" s="404"/>
      <c r="N66" s="404"/>
      <c r="O66" s="404"/>
      <c r="P66" s="404"/>
      <c r="Q66" s="6"/>
    </row>
    <row r="67" spans="2:17" ht="47.45" customHeight="1">
      <c r="B67" s="4"/>
      <c r="C67" s="398" t="s">
        <v>39</v>
      </c>
      <c r="D67" s="398"/>
      <c r="E67" s="398"/>
      <c r="F67" s="398"/>
      <c r="G67" s="399" t="s">
        <v>40</v>
      </c>
      <c r="H67" s="399"/>
      <c r="I67" s="399"/>
      <c r="J67" s="399"/>
      <c r="K67" s="399"/>
      <c r="L67" s="399"/>
      <c r="M67" s="399"/>
      <c r="N67" s="399"/>
      <c r="O67" s="399"/>
      <c r="P67" s="399"/>
      <c r="Q67" s="6"/>
    </row>
    <row r="68" spans="2:17" ht="126.75" customHeight="1">
      <c r="B68" s="4"/>
      <c r="C68" s="401" t="s">
        <v>41</v>
      </c>
      <c r="D68" s="402"/>
      <c r="E68" s="402"/>
      <c r="F68" s="403"/>
      <c r="G68" s="405" t="s">
        <v>42</v>
      </c>
      <c r="H68" s="406"/>
      <c r="I68" s="406"/>
      <c r="J68" s="406"/>
      <c r="K68" s="406"/>
      <c r="L68" s="406"/>
      <c r="M68" s="406"/>
      <c r="N68" s="406"/>
      <c r="O68" s="406"/>
      <c r="P68" s="407"/>
      <c r="Q68" s="6"/>
    </row>
    <row r="69" spans="2:17" ht="81.75" customHeight="1">
      <c r="B69" s="4"/>
      <c r="C69" s="401" t="s">
        <v>43</v>
      </c>
      <c r="D69" s="402"/>
      <c r="E69" s="402"/>
      <c r="F69" s="403"/>
      <c r="G69" s="408" t="s">
        <v>44</v>
      </c>
      <c r="H69" s="406"/>
      <c r="I69" s="406"/>
      <c r="J69" s="406"/>
      <c r="K69" s="406"/>
      <c r="L69" s="406"/>
      <c r="M69" s="406"/>
      <c r="N69" s="406"/>
      <c r="O69" s="406"/>
      <c r="P69" s="407"/>
      <c r="Q69" s="6"/>
    </row>
    <row r="70" spans="2:17" ht="26.45" customHeight="1">
      <c r="B70" s="4"/>
      <c r="C70" s="401" t="s">
        <v>45</v>
      </c>
      <c r="D70" s="402"/>
      <c r="E70" s="402"/>
      <c r="F70" s="403"/>
      <c r="G70" s="408" t="s">
        <v>46</v>
      </c>
      <c r="H70" s="406"/>
      <c r="I70" s="406"/>
      <c r="J70" s="406"/>
      <c r="K70" s="406"/>
      <c r="L70" s="406"/>
      <c r="M70" s="406"/>
      <c r="N70" s="406"/>
      <c r="O70" s="406"/>
      <c r="P70" s="407"/>
      <c r="Q70" s="6"/>
    </row>
    <row r="71" spans="2:17" ht="32.25" customHeight="1">
      <c r="B71" s="4"/>
      <c r="C71" s="368" t="s">
        <v>47</v>
      </c>
      <c r="D71" s="369"/>
      <c r="E71" s="369"/>
      <c r="F71" s="370"/>
      <c r="G71" s="383" t="s">
        <v>48</v>
      </c>
      <c r="H71" s="383"/>
      <c r="I71" s="383"/>
      <c r="J71" s="383"/>
      <c r="K71" s="383"/>
      <c r="L71" s="383"/>
      <c r="M71" s="383"/>
      <c r="N71" s="383"/>
      <c r="O71" s="383"/>
      <c r="P71" s="383"/>
      <c r="Q71" s="6"/>
    </row>
    <row r="72" spans="2:17" ht="15.75" customHeight="1">
      <c r="B72" s="4"/>
      <c r="C72" s="398" t="s">
        <v>49</v>
      </c>
      <c r="D72" s="398"/>
      <c r="E72" s="398"/>
      <c r="F72" s="398"/>
      <c r="G72" s="398" t="s">
        <v>50</v>
      </c>
      <c r="H72" s="398"/>
      <c r="I72" s="398"/>
      <c r="J72" s="398"/>
      <c r="K72" s="398"/>
      <c r="L72" s="398"/>
      <c r="M72" s="398"/>
      <c r="N72" s="398"/>
      <c r="O72" s="398"/>
      <c r="P72" s="398"/>
      <c r="Q72" s="6"/>
    </row>
    <row r="73" spans="2:17" ht="28.5" customHeight="1">
      <c r="B73" s="4"/>
      <c r="C73" s="401" t="s">
        <v>51</v>
      </c>
      <c r="D73" s="402"/>
      <c r="E73" s="402"/>
      <c r="F73" s="403"/>
      <c r="G73" s="399" t="s">
        <v>52</v>
      </c>
      <c r="H73" s="399"/>
      <c r="I73" s="399"/>
      <c r="J73" s="399"/>
      <c r="K73" s="399"/>
      <c r="L73" s="399"/>
      <c r="M73" s="399"/>
      <c r="N73" s="399"/>
      <c r="O73" s="399"/>
      <c r="P73" s="399"/>
      <c r="Q73" s="6"/>
    </row>
    <row r="74" spans="2:17" ht="30" customHeight="1">
      <c r="B74" s="4"/>
      <c r="C74" s="398" t="s">
        <v>53</v>
      </c>
      <c r="D74" s="398"/>
      <c r="E74" s="398"/>
      <c r="F74" s="398"/>
      <c r="G74" s="399" t="s">
        <v>54</v>
      </c>
      <c r="H74" s="399"/>
      <c r="I74" s="399"/>
      <c r="J74" s="399"/>
      <c r="K74" s="399"/>
      <c r="L74" s="399"/>
      <c r="M74" s="399"/>
      <c r="N74" s="399"/>
      <c r="O74" s="399"/>
      <c r="P74" s="399"/>
      <c r="Q74" s="6"/>
    </row>
    <row r="75" spans="2:17" ht="16.5" customHeight="1">
      <c r="B75" s="4"/>
      <c r="C75" s="398" t="s">
        <v>55</v>
      </c>
      <c r="D75" s="398"/>
      <c r="E75" s="398"/>
      <c r="F75" s="398"/>
      <c r="G75" s="398" t="s">
        <v>56</v>
      </c>
      <c r="H75" s="398"/>
      <c r="I75" s="398"/>
      <c r="J75" s="398"/>
      <c r="K75" s="398"/>
      <c r="L75" s="398"/>
      <c r="M75" s="398"/>
      <c r="N75" s="398"/>
      <c r="O75" s="398"/>
      <c r="P75" s="398"/>
      <c r="Q75" s="6"/>
    </row>
    <row r="76" spans="2:17" ht="32.450000000000003" customHeight="1">
      <c r="B76" s="4"/>
      <c r="C76" s="401" t="s">
        <v>57</v>
      </c>
      <c r="D76" s="402"/>
      <c r="E76" s="402"/>
      <c r="F76" s="403"/>
      <c r="G76" s="399" t="s">
        <v>58</v>
      </c>
      <c r="H76" s="399"/>
      <c r="I76" s="399"/>
      <c r="J76" s="399"/>
      <c r="K76" s="399"/>
      <c r="L76" s="399"/>
      <c r="M76" s="399"/>
      <c r="N76" s="399"/>
      <c r="O76" s="399"/>
      <c r="P76" s="399"/>
      <c r="Q76" s="6"/>
    </row>
    <row r="77" spans="2:17" ht="39.75" customHeight="1">
      <c r="B77" s="4"/>
      <c r="C77" s="398" t="s">
        <v>59</v>
      </c>
      <c r="D77" s="398"/>
      <c r="E77" s="398"/>
      <c r="F77" s="398"/>
      <c r="G77" s="399" t="s">
        <v>60</v>
      </c>
      <c r="H77" s="399"/>
      <c r="I77" s="399"/>
      <c r="J77" s="399"/>
      <c r="K77" s="399"/>
      <c r="L77" s="399"/>
      <c r="M77" s="399"/>
      <c r="N77" s="399"/>
      <c r="O77" s="399"/>
      <c r="P77" s="399"/>
      <c r="Q77" s="6"/>
    </row>
    <row r="78" spans="2:17" ht="41.45" customHeight="1">
      <c r="B78" s="4"/>
      <c r="C78" s="398" t="s">
        <v>61</v>
      </c>
      <c r="D78" s="398"/>
      <c r="E78" s="398"/>
      <c r="F78" s="398"/>
      <c r="G78" s="399" t="s">
        <v>62</v>
      </c>
      <c r="H78" s="399"/>
      <c r="I78" s="399"/>
      <c r="J78" s="399"/>
      <c r="K78" s="399"/>
      <c r="L78" s="399"/>
      <c r="M78" s="399"/>
      <c r="N78" s="399"/>
      <c r="O78" s="399"/>
      <c r="P78" s="399"/>
      <c r="Q78" s="6"/>
    </row>
    <row r="79" spans="2:17" ht="17.25" customHeight="1">
      <c r="B79" s="4"/>
      <c r="C79" s="398" t="s">
        <v>63</v>
      </c>
      <c r="D79" s="398"/>
      <c r="E79" s="398"/>
      <c r="F79" s="398"/>
      <c r="G79" s="398" t="s">
        <v>64</v>
      </c>
      <c r="H79" s="398"/>
      <c r="I79" s="398"/>
      <c r="J79" s="398"/>
      <c r="K79" s="398"/>
      <c r="L79" s="398"/>
      <c r="M79" s="398"/>
      <c r="N79" s="398"/>
      <c r="O79" s="398"/>
      <c r="P79" s="398"/>
      <c r="Q79" s="6"/>
    </row>
    <row r="80" spans="2:17" ht="20.25" customHeight="1">
      <c r="B80" s="4"/>
      <c r="C80" s="398" t="s">
        <v>65</v>
      </c>
      <c r="D80" s="398"/>
      <c r="E80" s="398"/>
      <c r="F80" s="398"/>
      <c r="G80" s="399" t="s">
        <v>66</v>
      </c>
      <c r="H80" s="398"/>
      <c r="I80" s="398"/>
      <c r="J80" s="398"/>
      <c r="K80" s="398"/>
      <c r="L80" s="398"/>
      <c r="M80" s="398"/>
      <c r="N80" s="398"/>
      <c r="O80" s="398"/>
      <c r="P80" s="398"/>
      <c r="Q80" s="6"/>
    </row>
    <row r="81" spans="2:17" ht="30" customHeight="1">
      <c r="B81" s="4"/>
      <c r="C81" s="401" t="s">
        <v>67</v>
      </c>
      <c r="D81" s="402"/>
      <c r="E81" s="402"/>
      <c r="F81" s="403"/>
      <c r="G81" s="399" t="s">
        <v>68</v>
      </c>
      <c r="H81" s="399"/>
      <c r="I81" s="399"/>
      <c r="J81" s="399"/>
      <c r="K81" s="399"/>
      <c r="L81" s="399"/>
      <c r="M81" s="399"/>
      <c r="N81" s="399"/>
      <c r="O81" s="399"/>
      <c r="P81" s="399"/>
      <c r="Q81" s="6"/>
    </row>
    <row r="82" spans="2:17" ht="28.5" customHeight="1">
      <c r="B82" s="4"/>
      <c r="C82" s="368" t="s">
        <v>69</v>
      </c>
      <c r="D82" s="369"/>
      <c r="E82" s="369"/>
      <c r="F82" s="370"/>
      <c r="G82" s="383" t="s">
        <v>70</v>
      </c>
      <c r="H82" s="383"/>
      <c r="I82" s="383"/>
      <c r="J82" s="383"/>
      <c r="K82" s="383"/>
      <c r="L82" s="383"/>
      <c r="M82" s="383"/>
      <c r="N82" s="383"/>
      <c r="O82" s="383"/>
      <c r="P82" s="383"/>
      <c r="Q82" s="6"/>
    </row>
    <row r="83" spans="2:17" ht="28.5" customHeight="1">
      <c r="B83" s="4"/>
      <c r="C83" s="368" t="s">
        <v>71</v>
      </c>
      <c r="D83" s="369"/>
      <c r="E83" s="369"/>
      <c r="F83" s="370"/>
      <c r="G83" s="383" t="s">
        <v>72</v>
      </c>
      <c r="H83" s="383"/>
      <c r="I83" s="383"/>
      <c r="J83" s="383"/>
      <c r="K83" s="383"/>
      <c r="L83" s="383"/>
      <c r="M83" s="383"/>
      <c r="N83" s="383"/>
      <c r="O83" s="383"/>
      <c r="P83" s="383"/>
      <c r="Q83" s="6"/>
    </row>
    <row r="84" spans="2:17" ht="16.5" customHeight="1">
      <c r="B84" s="4"/>
      <c r="C84" s="368" t="s">
        <v>73</v>
      </c>
      <c r="D84" s="369"/>
      <c r="E84" s="369"/>
      <c r="F84" s="370"/>
      <c r="G84" s="409" t="s">
        <v>74</v>
      </c>
      <c r="H84" s="410"/>
      <c r="I84" s="410"/>
      <c r="J84" s="410"/>
      <c r="K84" s="410"/>
      <c r="L84" s="410"/>
      <c r="M84" s="410"/>
      <c r="N84" s="410"/>
      <c r="O84" s="410"/>
      <c r="P84" s="411"/>
      <c r="Q84" s="6"/>
    </row>
    <row r="85" spans="2:17" ht="15" customHeight="1">
      <c r="B85" s="4"/>
      <c r="C85" s="368" t="s">
        <v>75</v>
      </c>
      <c r="D85" s="369"/>
      <c r="E85" s="369"/>
      <c r="F85" s="370"/>
      <c r="G85" s="383" t="s">
        <v>76</v>
      </c>
      <c r="H85" s="383"/>
      <c r="I85" s="383"/>
      <c r="J85" s="383"/>
      <c r="K85" s="383"/>
      <c r="L85" s="383"/>
      <c r="M85" s="383"/>
      <c r="N85" s="383"/>
      <c r="O85" s="383"/>
      <c r="P85" s="383"/>
      <c r="Q85" s="6"/>
    </row>
    <row r="86" spans="2:17" ht="17.25" customHeight="1">
      <c r="B86" s="4"/>
      <c r="C86" s="400" t="s">
        <v>77</v>
      </c>
      <c r="D86" s="400"/>
      <c r="E86" s="400"/>
      <c r="F86" s="400"/>
      <c r="G86" s="383" t="s">
        <v>78</v>
      </c>
      <c r="H86" s="383"/>
      <c r="I86" s="383"/>
      <c r="J86" s="383"/>
      <c r="K86" s="383"/>
      <c r="L86" s="383"/>
      <c r="M86" s="383"/>
      <c r="N86" s="383"/>
      <c r="O86" s="383"/>
      <c r="P86" s="383"/>
      <c r="Q86" s="6"/>
    </row>
    <row r="87" spans="2:17" ht="19.5" customHeight="1">
      <c r="B87" s="4"/>
      <c r="C87" s="47"/>
      <c r="D87" s="47"/>
      <c r="E87" s="47"/>
      <c r="F87" s="47"/>
      <c r="G87" s="47"/>
      <c r="H87" s="47"/>
      <c r="I87" s="47"/>
      <c r="J87" s="47"/>
      <c r="K87" s="47"/>
      <c r="L87" s="47"/>
      <c r="M87" s="47"/>
      <c r="N87" s="47"/>
      <c r="O87" s="47"/>
      <c r="P87" s="47"/>
      <c r="Q87" s="6"/>
    </row>
    <row r="88" spans="2:17" ht="19.5" customHeight="1">
      <c r="B88" s="4"/>
      <c r="C88" s="386" t="s">
        <v>79</v>
      </c>
      <c r="D88" s="386"/>
      <c r="E88" s="386"/>
      <c r="F88" s="47"/>
      <c r="G88" s="47"/>
      <c r="H88" s="47"/>
      <c r="I88" s="47"/>
      <c r="J88" s="47"/>
      <c r="K88" s="47"/>
      <c r="L88" s="47"/>
      <c r="M88" s="47"/>
      <c r="N88" s="47"/>
      <c r="O88" s="47"/>
      <c r="P88" s="47"/>
      <c r="Q88" s="6"/>
    </row>
    <row r="89" spans="2:17" ht="69.95" customHeight="1">
      <c r="B89" s="4"/>
      <c r="C89" s="377" t="s">
        <v>80</v>
      </c>
      <c r="D89" s="377"/>
      <c r="E89" s="377"/>
      <c r="F89" s="377"/>
      <c r="G89" s="377"/>
      <c r="H89" s="377"/>
      <c r="I89" s="377"/>
      <c r="J89" s="377"/>
      <c r="K89" s="377"/>
      <c r="L89" s="377"/>
      <c r="M89" s="377"/>
      <c r="N89" s="377"/>
      <c r="O89" s="377"/>
      <c r="P89" s="377"/>
      <c r="Q89" s="6"/>
    </row>
    <row r="90" spans="2:17" ht="16.5" customHeight="1">
      <c r="B90" s="4"/>
      <c r="C90" s="386" t="s">
        <v>81</v>
      </c>
      <c r="D90" s="386"/>
      <c r="E90" s="386"/>
      <c r="F90" s="118"/>
      <c r="G90" s="118"/>
      <c r="H90" s="118"/>
      <c r="I90" s="118"/>
      <c r="J90" s="118"/>
      <c r="K90" s="118"/>
      <c r="L90" s="118"/>
      <c r="M90" s="118"/>
      <c r="N90" s="118"/>
      <c r="O90" s="118"/>
      <c r="P90" s="118"/>
      <c r="Q90" s="6"/>
    </row>
    <row r="91" spans="2:17" ht="56.25" customHeight="1">
      <c r="B91" s="4"/>
      <c r="C91" s="387" t="s">
        <v>82</v>
      </c>
      <c r="D91" s="387"/>
      <c r="E91" s="387"/>
      <c r="F91" s="387"/>
      <c r="G91" s="387"/>
      <c r="H91" s="387"/>
      <c r="I91" s="387"/>
      <c r="J91" s="387"/>
      <c r="K91" s="387"/>
      <c r="L91" s="387"/>
      <c r="M91" s="387"/>
      <c r="N91" s="387"/>
      <c r="O91" s="387"/>
      <c r="P91" s="387"/>
      <c r="Q91" s="6"/>
    </row>
    <row r="92" spans="2:17" ht="18" customHeight="1">
      <c r="B92" s="4"/>
      <c r="C92" s="385" t="s">
        <v>83</v>
      </c>
      <c r="D92" s="385"/>
      <c r="E92" s="385"/>
      <c r="F92" s="385"/>
      <c r="G92" s="385"/>
      <c r="H92" s="385"/>
      <c r="I92" s="385"/>
      <c r="J92" s="385"/>
      <c r="K92" s="385"/>
      <c r="L92" s="385"/>
      <c r="M92" s="385"/>
      <c r="N92" s="385"/>
      <c r="O92" s="385"/>
      <c r="P92" s="385"/>
      <c r="Q92" s="6"/>
    </row>
    <row r="93" spans="2:17" ht="18" customHeight="1">
      <c r="B93" s="4"/>
      <c r="C93" s="388" t="s">
        <v>84</v>
      </c>
      <c r="D93" s="388"/>
      <c r="E93" s="388"/>
      <c r="F93" s="388"/>
      <c r="G93" s="388"/>
      <c r="H93" s="388"/>
      <c r="I93" s="388"/>
      <c r="J93" s="388"/>
      <c r="K93" s="388"/>
      <c r="L93" s="388"/>
      <c r="M93" s="388"/>
      <c r="N93" s="388"/>
      <c r="O93" s="388"/>
      <c r="P93" s="388"/>
      <c r="Q93" s="6"/>
    </row>
    <row r="94" spans="2:17" ht="18" customHeight="1">
      <c r="B94" s="4"/>
      <c r="C94" s="388" t="s">
        <v>85</v>
      </c>
      <c r="D94" s="388"/>
      <c r="E94" s="388"/>
      <c r="F94" s="388"/>
      <c r="G94" s="388"/>
      <c r="H94" s="388"/>
      <c r="I94" s="388"/>
      <c r="J94" s="388"/>
      <c r="K94" s="388"/>
      <c r="L94" s="388"/>
      <c r="M94" s="388"/>
      <c r="N94" s="388"/>
      <c r="O94" s="388"/>
      <c r="P94" s="388"/>
      <c r="Q94" s="6"/>
    </row>
    <row r="95" spans="2:17" ht="18" customHeight="1">
      <c r="B95" s="4"/>
      <c r="C95" s="388" t="s">
        <v>86</v>
      </c>
      <c r="D95" s="388"/>
      <c r="E95" s="388"/>
      <c r="F95" s="388"/>
      <c r="G95" s="388"/>
      <c r="H95" s="388"/>
      <c r="I95" s="388"/>
      <c r="J95" s="388"/>
      <c r="K95" s="388"/>
      <c r="L95" s="388"/>
      <c r="M95" s="388"/>
      <c r="N95" s="388"/>
      <c r="O95" s="388"/>
      <c r="P95" s="388"/>
      <c r="Q95" s="6"/>
    </row>
    <row r="96" spans="2:17" ht="21" customHeight="1">
      <c r="B96" s="4"/>
      <c r="C96" s="377" t="s">
        <v>87</v>
      </c>
      <c r="D96" s="377"/>
      <c r="E96" s="377"/>
      <c r="F96" s="377"/>
      <c r="G96" s="377"/>
      <c r="H96" s="377"/>
      <c r="I96" s="377"/>
      <c r="J96" s="377"/>
      <c r="K96" s="377"/>
      <c r="L96" s="377"/>
      <c r="M96" s="377"/>
      <c r="N96" s="377"/>
      <c r="O96" s="377"/>
      <c r="P96" s="377"/>
      <c r="Q96" s="6"/>
    </row>
    <row r="97" spans="2:18" ht="8.25" customHeight="1">
      <c r="B97" s="4"/>
      <c r="C97" s="119"/>
      <c r="D97" s="119"/>
      <c r="E97" s="119"/>
      <c r="F97" s="119"/>
      <c r="G97" s="119"/>
      <c r="H97" s="119"/>
      <c r="I97" s="119"/>
      <c r="J97" s="119"/>
      <c r="K97" s="119"/>
      <c r="L97" s="119"/>
      <c r="M97" s="119"/>
      <c r="N97" s="119"/>
      <c r="O97" s="119"/>
      <c r="P97" s="119"/>
      <c r="Q97" s="6"/>
    </row>
    <row r="98" spans="2:18" ht="27.95" customHeight="1">
      <c r="B98" s="4"/>
      <c r="C98" s="379" t="s">
        <v>88</v>
      </c>
      <c r="D98" s="379"/>
      <c r="E98" s="379"/>
      <c r="F98" s="379"/>
      <c r="G98" s="379"/>
      <c r="H98" s="380"/>
      <c r="I98" s="384" t="s">
        <v>89</v>
      </c>
      <c r="J98" s="379"/>
      <c r="K98" s="379"/>
      <c r="L98" s="379"/>
      <c r="M98" s="379"/>
      <c r="N98" s="384" t="s">
        <v>90</v>
      </c>
      <c r="O98" s="379"/>
      <c r="P98" s="379"/>
      <c r="Q98" s="6"/>
    </row>
    <row r="99" spans="2:18" ht="14.25" customHeight="1">
      <c r="B99" s="4"/>
      <c r="C99" s="102" t="s">
        <v>91</v>
      </c>
      <c r="D99" s="102" t="s">
        <v>92</v>
      </c>
      <c r="E99" s="381" t="s">
        <v>93</v>
      </c>
      <c r="F99" s="381"/>
      <c r="G99" s="381"/>
      <c r="H99" s="382"/>
      <c r="I99" s="102" t="s">
        <v>91</v>
      </c>
      <c r="J99" s="102" t="s">
        <v>92</v>
      </c>
      <c r="K99" s="381" t="s">
        <v>93</v>
      </c>
      <c r="L99" s="381"/>
      <c r="M99" s="382"/>
      <c r="N99" s="102" t="s">
        <v>94</v>
      </c>
      <c r="O99" s="102" t="s">
        <v>92</v>
      </c>
      <c r="P99" s="102" t="s">
        <v>93</v>
      </c>
      <c r="Q99" s="6"/>
    </row>
    <row r="100" spans="2:18" ht="12.95" customHeight="1">
      <c r="B100" s="4"/>
      <c r="C100" s="120"/>
      <c r="D100" s="104">
        <v>3</v>
      </c>
      <c r="E100" s="377" t="s">
        <v>95</v>
      </c>
      <c r="F100" s="377"/>
      <c r="G100" s="377"/>
      <c r="H100" s="378"/>
      <c r="I100" s="121"/>
      <c r="J100" s="104">
        <v>1</v>
      </c>
      <c r="K100" s="375" t="s">
        <v>96</v>
      </c>
      <c r="L100" s="375"/>
      <c r="M100" s="376"/>
      <c r="N100" s="122"/>
      <c r="O100" s="104">
        <v>17</v>
      </c>
      <c r="P100" s="102" t="s">
        <v>97</v>
      </c>
      <c r="Q100" s="69"/>
      <c r="R100" s="67"/>
    </row>
    <row r="101" spans="2:18" ht="14.45" customHeight="1">
      <c r="B101" s="4"/>
      <c r="C101" s="123"/>
      <c r="D101" s="104">
        <v>4</v>
      </c>
      <c r="E101" s="377" t="s">
        <v>98</v>
      </c>
      <c r="F101" s="377"/>
      <c r="G101" s="377"/>
      <c r="H101" s="378"/>
      <c r="I101" s="124"/>
      <c r="J101" s="104">
        <v>2</v>
      </c>
      <c r="K101" s="375" t="s">
        <v>99</v>
      </c>
      <c r="L101" s="375"/>
      <c r="M101" s="376"/>
      <c r="N101" s="125"/>
      <c r="O101" s="104">
        <v>18</v>
      </c>
      <c r="P101" s="102" t="s">
        <v>100</v>
      </c>
      <c r="Q101" s="69"/>
      <c r="R101" s="67"/>
    </row>
    <row r="102" spans="2:18" ht="15.75" customHeight="1">
      <c r="B102" s="4"/>
      <c r="C102" s="126"/>
      <c r="D102" s="104">
        <v>5</v>
      </c>
      <c r="E102" s="377" t="s">
        <v>101</v>
      </c>
      <c r="F102" s="377"/>
      <c r="G102" s="377"/>
      <c r="H102" s="378"/>
      <c r="I102" s="127"/>
      <c r="J102" s="104">
        <v>8</v>
      </c>
      <c r="K102" s="375" t="s">
        <v>102</v>
      </c>
      <c r="L102" s="375"/>
      <c r="M102" s="376"/>
      <c r="N102" s="128"/>
      <c r="O102" s="104">
        <v>19</v>
      </c>
      <c r="P102" s="102" t="s">
        <v>103</v>
      </c>
      <c r="Q102" s="69"/>
      <c r="R102" s="67"/>
    </row>
    <row r="103" spans="2:18" ht="15.75" customHeight="1">
      <c r="B103" s="4"/>
      <c r="C103" s="129"/>
      <c r="D103" s="104">
        <v>6</v>
      </c>
      <c r="E103" s="377" t="s">
        <v>104</v>
      </c>
      <c r="F103" s="377"/>
      <c r="G103" s="377"/>
      <c r="H103" s="378"/>
      <c r="I103" s="130"/>
      <c r="J103" s="104">
        <v>9</v>
      </c>
      <c r="K103" s="375" t="s">
        <v>105</v>
      </c>
      <c r="L103" s="375"/>
      <c r="M103" s="376"/>
      <c r="N103" s="66"/>
      <c r="O103" s="66"/>
      <c r="P103" s="66"/>
      <c r="Q103" s="6"/>
    </row>
    <row r="104" spans="2:18" ht="15.6">
      <c r="B104" s="4"/>
      <c r="C104" s="131"/>
      <c r="D104" s="104">
        <v>7</v>
      </c>
      <c r="E104" s="377" t="s">
        <v>106</v>
      </c>
      <c r="F104" s="377"/>
      <c r="G104" s="377"/>
      <c r="H104" s="378"/>
      <c r="I104" s="132"/>
      <c r="J104" s="103">
        <v>15</v>
      </c>
      <c r="K104" s="389" t="s">
        <v>107</v>
      </c>
      <c r="L104" s="389"/>
      <c r="M104" s="390"/>
      <c r="N104" s="47"/>
      <c r="O104" s="47"/>
      <c r="P104" s="47"/>
      <c r="Q104" s="6"/>
    </row>
    <row r="105" spans="2:18" ht="15" customHeight="1">
      <c r="B105" s="4"/>
      <c r="C105" s="133"/>
      <c r="D105" s="104">
        <v>10</v>
      </c>
      <c r="E105" s="377" t="s">
        <v>108</v>
      </c>
      <c r="F105" s="377"/>
      <c r="G105" s="377"/>
      <c r="H105" s="378"/>
      <c r="I105" s="134"/>
      <c r="J105" s="104">
        <v>16</v>
      </c>
      <c r="K105" s="375" t="s">
        <v>109</v>
      </c>
      <c r="L105" s="375"/>
      <c r="M105" s="376"/>
      <c r="N105" s="66"/>
      <c r="O105" s="66"/>
      <c r="P105" s="66"/>
      <c r="Q105" s="6"/>
    </row>
    <row r="106" spans="2:18" ht="14.45" customHeight="1">
      <c r="B106" s="4"/>
      <c r="C106" s="135"/>
      <c r="D106" s="104">
        <v>11</v>
      </c>
      <c r="E106" s="377" t="s">
        <v>110</v>
      </c>
      <c r="F106" s="377"/>
      <c r="G106" s="377"/>
      <c r="H106" s="378"/>
      <c r="I106" s="136"/>
      <c r="J106" s="104">
        <v>20</v>
      </c>
      <c r="K106" s="377" t="s">
        <v>111</v>
      </c>
      <c r="L106" s="377"/>
      <c r="M106" s="378"/>
      <c r="N106" s="102"/>
      <c r="O106" s="102"/>
      <c r="P106" s="102"/>
      <c r="Q106" s="6"/>
    </row>
    <row r="107" spans="2:18" ht="12.75" customHeight="1">
      <c r="B107" s="4"/>
      <c r="C107" s="137"/>
      <c r="D107" s="104">
        <v>12</v>
      </c>
      <c r="E107" s="377" t="s">
        <v>112</v>
      </c>
      <c r="F107" s="377"/>
      <c r="G107" s="377"/>
      <c r="H107" s="378"/>
      <c r="I107" s="138"/>
      <c r="J107" s="104">
        <v>21</v>
      </c>
      <c r="K107" s="377" t="s">
        <v>113</v>
      </c>
      <c r="L107" s="377"/>
      <c r="M107" s="378"/>
      <c r="N107" s="102"/>
      <c r="O107" s="102"/>
      <c r="P107" s="102"/>
      <c r="Q107" s="6"/>
    </row>
    <row r="108" spans="2:18" ht="14.45" customHeight="1">
      <c r="B108" s="4"/>
      <c r="C108" s="139"/>
      <c r="D108" s="104">
        <v>13</v>
      </c>
      <c r="E108" s="377" t="s">
        <v>114</v>
      </c>
      <c r="F108" s="377"/>
      <c r="G108" s="377"/>
      <c r="H108" s="378"/>
      <c r="I108" s="140"/>
      <c r="J108" s="104">
        <v>22</v>
      </c>
      <c r="K108" s="377" t="s">
        <v>115</v>
      </c>
      <c r="L108" s="377"/>
      <c r="M108" s="378"/>
      <c r="N108" s="102"/>
      <c r="O108" s="102"/>
      <c r="P108" s="102"/>
      <c r="Q108" s="6"/>
    </row>
    <row r="109" spans="2:18" ht="13.5" customHeight="1">
      <c r="B109" s="4"/>
      <c r="C109" s="141"/>
      <c r="D109" s="104">
        <v>14</v>
      </c>
      <c r="E109" s="377" t="s">
        <v>116</v>
      </c>
      <c r="F109" s="377"/>
      <c r="G109" s="377"/>
      <c r="H109" s="378"/>
      <c r="I109" s="142"/>
      <c r="J109" s="104">
        <v>23</v>
      </c>
      <c r="K109" s="375" t="s">
        <v>117</v>
      </c>
      <c r="L109" s="375"/>
      <c r="M109" s="376"/>
      <c r="N109" s="102"/>
      <c r="O109" s="102"/>
      <c r="P109" s="102"/>
      <c r="Q109" s="6"/>
    </row>
    <row r="110" spans="2:18" ht="14.45" customHeight="1">
      <c r="B110" s="4"/>
      <c r="C110" s="102"/>
      <c r="D110" s="104"/>
      <c r="E110" s="377"/>
      <c r="F110" s="377"/>
      <c r="G110" s="377"/>
      <c r="H110" s="378"/>
      <c r="I110" s="143"/>
      <c r="J110" s="104">
        <v>24</v>
      </c>
      <c r="K110" s="377" t="s">
        <v>118</v>
      </c>
      <c r="L110" s="377"/>
      <c r="M110" s="378"/>
      <c r="N110" s="102"/>
      <c r="O110" s="102"/>
      <c r="P110" s="102"/>
      <c r="Q110" s="6"/>
    </row>
    <row r="111" spans="2:18" ht="14.45" customHeight="1">
      <c r="B111" s="4"/>
      <c r="C111" s="102"/>
      <c r="D111" s="104"/>
      <c r="E111" s="102"/>
      <c r="F111" s="102"/>
      <c r="G111" s="102"/>
      <c r="H111" s="144"/>
      <c r="I111" s="145"/>
      <c r="J111" s="104">
        <v>25</v>
      </c>
      <c r="K111" s="377" t="s">
        <v>119</v>
      </c>
      <c r="L111" s="377"/>
      <c r="M111" s="378"/>
      <c r="N111" s="102"/>
      <c r="O111" s="102"/>
      <c r="P111" s="102"/>
      <c r="Q111" s="6"/>
    </row>
    <row r="112" spans="2:18" ht="14.45" customHeight="1">
      <c r="B112" s="4"/>
      <c r="C112" s="102"/>
      <c r="D112" s="104"/>
      <c r="E112" s="102"/>
      <c r="F112" s="102"/>
      <c r="G112" s="102"/>
      <c r="H112" s="144"/>
      <c r="I112" s="146"/>
      <c r="J112" s="104">
        <v>26</v>
      </c>
      <c r="K112" s="377" t="s">
        <v>120</v>
      </c>
      <c r="L112" s="377"/>
      <c r="M112" s="378"/>
      <c r="N112" s="66"/>
      <c r="O112" s="66"/>
      <c r="P112" s="66"/>
      <c r="Q112" s="6"/>
    </row>
    <row r="113" spans="2:17" ht="12.95" customHeight="1">
      <c r="B113" s="4"/>
      <c r="C113" s="102"/>
      <c r="D113" s="102"/>
      <c r="E113" s="102"/>
      <c r="F113" s="102"/>
      <c r="G113" s="102"/>
      <c r="H113" s="144"/>
      <c r="I113" s="147"/>
      <c r="J113" s="104">
        <v>27</v>
      </c>
      <c r="K113" s="377" t="s">
        <v>121</v>
      </c>
      <c r="L113" s="377"/>
      <c r="M113" s="378"/>
      <c r="N113" s="102"/>
      <c r="O113" s="102"/>
      <c r="P113" s="102"/>
      <c r="Q113" s="6"/>
    </row>
    <row r="114" spans="2:17" ht="13.5" customHeight="1">
      <c r="B114" s="4"/>
      <c r="C114" s="102"/>
      <c r="D114" s="102"/>
      <c r="E114" s="102"/>
      <c r="F114" s="102"/>
      <c r="G114" s="102"/>
      <c r="H114" s="102"/>
      <c r="I114" s="148"/>
      <c r="J114" s="148"/>
      <c r="K114" s="148"/>
      <c r="L114" s="148"/>
      <c r="M114" s="148"/>
      <c r="N114" s="102"/>
      <c r="O114" s="102"/>
      <c r="P114" s="102"/>
      <c r="Q114" s="6"/>
    </row>
    <row r="115" spans="2:17" ht="13.5" customHeight="1">
      <c r="B115" s="4"/>
      <c r="C115" s="335"/>
      <c r="D115" s="335"/>
      <c r="E115" s="335"/>
      <c r="F115" s="335"/>
      <c r="G115" s="335"/>
      <c r="H115" s="336"/>
      <c r="I115" s="335"/>
      <c r="J115" s="335"/>
      <c r="K115" s="335"/>
      <c r="L115" s="335"/>
      <c r="M115" s="335"/>
      <c r="N115" s="336"/>
      <c r="O115" s="336"/>
      <c r="P115" s="336"/>
      <c r="Q115" s="6"/>
    </row>
    <row r="116" spans="2:17" ht="21.95" customHeight="1">
      <c r="B116" s="4"/>
      <c r="C116" s="371" t="s">
        <v>122</v>
      </c>
      <c r="D116" s="371"/>
      <c r="E116" s="371"/>
      <c r="F116" s="371"/>
      <c r="G116" s="371"/>
      <c r="H116" s="336"/>
      <c r="I116" s="335"/>
      <c r="J116" s="335"/>
      <c r="K116" s="335"/>
      <c r="L116" s="335"/>
      <c r="M116" s="335"/>
      <c r="N116" s="336"/>
      <c r="O116" s="336"/>
      <c r="P116" s="336"/>
      <c r="Q116" s="6"/>
    </row>
    <row r="117" spans="2:17" ht="13.5" customHeight="1">
      <c r="B117" s="4"/>
      <c r="C117" s="367" t="s">
        <v>123</v>
      </c>
      <c r="D117" s="367"/>
      <c r="E117" s="367"/>
      <c r="F117" s="367"/>
      <c r="G117" s="367"/>
      <c r="H117" s="367"/>
      <c r="I117" s="367"/>
      <c r="J117" s="367"/>
      <c r="K117" s="367"/>
      <c r="L117" s="367"/>
      <c r="M117" s="367"/>
      <c r="N117" s="367"/>
      <c r="O117" s="367"/>
      <c r="P117" s="367"/>
      <c r="Q117" s="6"/>
    </row>
    <row r="118" spans="2:17" ht="19.5" customHeight="1">
      <c r="B118" s="4"/>
      <c r="C118" s="372" t="s">
        <v>124</v>
      </c>
      <c r="D118" s="372"/>
      <c r="E118" s="372"/>
      <c r="F118" s="372"/>
      <c r="G118" s="372"/>
      <c r="H118" s="372"/>
      <c r="I118" s="372"/>
      <c r="J118" s="372"/>
      <c r="K118" s="372"/>
      <c r="L118" s="372"/>
      <c r="M118" s="372"/>
      <c r="N118" s="372"/>
      <c r="O118" s="335"/>
      <c r="P118" s="336"/>
      <c r="Q118" s="6"/>
    </row>
    <row r="119" spans="2:17" ht="18" customHeight="1">
      <c r="B119" s="4"/>
      <c r="C119" s="365" t="s">
        <v>125</v>
      </c>
      <c r="D119" s="365"/>
      <c r="E119" s="365"/>
      <c r="F119" s="365"/>
      <c r="G119" s="365"/>
      <c r="H119" s="365"/>
      <c r="I119" s="365"/>
      <c r="J119" s="365"/>
      <c r="K119" s="365"/>
      <c r="L119" s="365"/>
      <c r="M119" s="365"/>
      <c r="N119" s="365"/>
      <c r="O119" s="149"/>
      <c r="P119" s="102"/>
      <c r="Q119" s="6"/>
    </row>
    <row r="120" spans="2:17" ht="21.95" customHeight="1">
      <c r="B120" s="4"/>
      <c r="C120" s="373" t="s">
        <v>126</v>
      </c>
      <c r="D120" s="373"/>
      <c r="E120" s="373"/>
      <c r="F120" s="373"/>
      <c r="G120" s="373"/>
      <c r="H120" s="373"/>
      <c r="I120" s="373"/>
      <c r="J120" s="373"/>
      <c r="K120" s="373"/>
      <c r="L120" s="373"/>
      <c r="M120" s="373"/>
      <c r="N120" s="373"/>
      <c r="O120" s="373"/>
      <c r="P120" s="102"/>
      <c r="Q120" s="6"/>
    </row>
    <row r="121" spans="2:17" ht="13.5" customHeight="1">
      <c r="B121" s="4"/>
      <c r="C121" s="102"/>
      <c r="D121" s="102"/>
      <c r="E121" s="102"/>
      <c r="F121" s="102"/>
      <c r="G121" s="102"/>
      <c r="H121" s="102"/>
      <c r="I121" s="148"/>
      <c r="J121" s="148"/>
      <c r="K121" s="148"/>
      <c r="L121" s="148"/>
      <c r="M121" s="148"/>
      <c r="N121" s="102"/>
      <c r="O121" s="102"/>
      <c r="P121" s="102"/>
      <c r="Q121" s="6"/>
    </row>
    <row r="122" spans="2:17" ht="21" customHeight="1">
      <c r="B122" s="4"/>
      <c r="C122" s="374" t="s">
        <v>127</v>
      </c>
      <c r="D122" s="374"/>
      <c r="E122" s="374"/>
      <c r="F122" s="374"/>
      <c r="G122" s="374"/>
      <c r="H122" s="374"/>
      <c r="I122" s="374"/>
      <c r="J122" s="374"/>
      <c r="K122" s="374"/>
      <c r="L122" s="374"/>
      <c r="M122" s="374"/>
      <c r="N122" s="374"/>
      <c r="O122" s="374"/>
      <c r="P122" s="102"/>
      <c r="Q122" s="6"/>
    </row>
    <row r="123" spans="2:17" ht="13.5" customHeight="1">
      <c r="B123" s="4"/>
      <c r="C123" s="367" t="s">
        <v>128</v>
      </c>
      <c r="D123" s="367"/>
      <c r="E123" s="367"/>
      <c r="F123" s="367"/>
      <c r="G123" s="367"/>
      <c r="H123" s="367"/>
      <c r="I123" s="367"/>
      <c r="J123" s="367"/>
      <c r="K123" s="367"/>
      <c r="L123" s="367"/>
      <c r="M123" s="367"/>
      <c r="N123" s="150"/>
      <c r="O123" s="149"/>
      <c r="P123" s="102"/>
      <c r="Q123" s="6"/>
    </row>
    <row r="124" spans="2:17" ht="18" customHeight="1">
      <c r="B124" s="4"/>
      <c r="C124" s="366" t="s">
        <v>129</v>
      </c>
      <c r="D124" s="366"/>
      <c r="E124" s="366"/>
      <c r="F124" s="366"/>
      <c r="G124" s="366"/>
      <c r="H124" s="366"/>
      <c r="I124" s="366"/>
      <c r="J124" s="366"/>
      <c r="K124" s="366"/>
      <c r="L124" s="366"/>
      <c r="M124" s="366"/>
      <c r="N124" s="366"/>
      <c r="O124" s="149"/>
      <c r="P124" s="102"/>
      <c r="Q124" s="6"/>
    </row>
    <row r="125" spans="2:17" ht="13.5" customHeight="1">
      <c r="B125" s="4"/>
      <c r="C125" s="365" t="s">
        <v>130</v>
      </c>
      <c r="D125" s="365"/>
      <c r="E125" s="365"/>
      <c r="F125" s="365"/>
      <c r="G125" s="365"/>
      <c r="H125" s="365"/>
      <c r="I125" s="365"/>
      <c r="J125" s="365"/>
      <c r="K125" s="365"/>
      <c r="L125" s="365"/>
      <c r="M125" s="365"/>
      <c r="N125" s="365"/>
      <c r="O125" s="149"/>
      <c r="P125" s="102"/>
      <c r="Q125" s="6"/>
    </row>
    <row r="126" spans="2:17" ht="16.5" customHeight="1">
      <c r="B126" s="4"/>
      <c r="C126" s="366" t="s">
        <v>131</v>
      </c>
      <c r="D126" s="366"/>
      <c r="E126" s="366"/>
      <c r="F126" s="366"/>
      <c r="G126" s="366"/>
      <c r="H126" s="366"/>
      <c r="I126" s="366"/>
      <c r="J126" s="366"/>
      <c r="K126" s="366"/>
      <c r="L126" s="366"/>
      <c r="M126" s="366"/>
      <c r="N126" s="366"/>
      <c r="O126" s="149"/>
      <c r="P126" s="102"/>
      <c r="Q126" s="6"/>
    </row>
    <row r="127" spans="2:17" ht="13.5" customHeight="1">
      <c r="B127" s="4"/>
      <c r="C127" s="102"/>
      <c r="D127" s="102"/>
      <c r="E127" s="102"/>
      <c r="F127" s="102"/>
      <c r="G127" s="102"/>
      <c r="H127" s="102"/>
      <c r="I127" s="148"/>
      <c r="J127" s="148"/>
      <c r="K127" s="148"/>
      <c r="L127" s="148"/>
      <c r="M127" s="148"/>
      <c r="N127" s="102"/>
      <c r="O127" s="102"/>
      <c r="P127" s="102"/>
      <c r="Q127" s="6"/>
    </row>
    <row r="128" spans="2:17" ht="13.5" customHeight="1">
      <c r="B128" s="4"/>
      <c r="C128" s="102"/>
      <c r="D128" s="102"/>
      <c r="E128" s="102"/>
      <c r="F128" s="102"/>
      <c r="G128" s="102"/>
      <c r="H128" s="102"/>
      <c r="I128" s="148"/>
      <c r="J128" s="148"/>
      <c r="K128" s="148"/>
      <c r="L128" s="148"/>
      <c r="M128" s="148"/>
      <c r="N128" s="102"/>
      <c r="O128" s="102"/>
      <c r="P128" s="102"/>
      <c r="Q128" s="6"/>
    </row>
    <row r="129" spans="2:17" ht="5.25" customHeight="1">
      <c r="B129" s="4"/>
      <c r="C129" s="102"/>
      <c r="D129" s="102"/>
      <c r="E129" s="102"/>
      <c r="F129" s="102"/>
      <c r="G129" s="102"/>
      <c r="H129" s="102"/>
      <c r="I129" s="102"/>
      <c r="J129" s="104"/>
      <c r="K129" s="102"/>
      <c r="L129" s="102"/>
      <c r="M129" s="102"/>
      <c r="N129" s="102"/>
      <c r="O129" s="102"/>
      <c r="P129" s="102"/>
      <c r="Q129" s="6"/>
    </row>
    <row r="130" spans="2:17" ht="5.25" customHeight="1">
      <c r="B130" s="4"/>
      <c r="C130" s="47"/>
      <c r="D130" s="47"/>
      <c r="E130" s="47"/>
      <c r="F130" s="47"/>
      <c r="G130" s="47"/>
      <c r="H130" s="47"/>
      <c r="I130" s="47"/>
      <c r="J130" s="47"/>
      <c r="K130" s="47"/>
      <c r="L130" s="47"/>
      <c r="M130" s="47"/>
      <c r="N130" s="47"/>
      <c r="O130" s="47"/>
      <c r="P130" s="47"/>
      <c r="Q130" s="6"/>
    </row>
    <row r="131" spans="2:17" ht="82.5" customHeight="1">
      <c r="B131" s="4"/>
      <c r="C131" s="151"/>
      <c r="D131" s="66"/>
      <c r="E131" s="66"/>
      <c r="F131" s="66"/>
      <c r="G131" s="66"/>
      <c r="H131" s="397" t="s">
        <v>132</v>
      </c>
      <c r="I131" s="397"/>
      <c r="J131" s="397"/>
      <c r="K131" s="397"/>
      <c r="L131" s="397"/>
      <c r="M131" s="397"/>
      <c r="N131" s="397"/>
      <c r="O131" s="397"/>
      <c r="P131" s="397"/>
      <c r="Q131" s="6"/>
    </row>
    <row r="132" spans="2:17" ht="4.5" customHeight="1">
      <c r="B132" s="4"/>
      <c r="C132" s="12"/>
      <c r="D132" s="12"/>
      <c r="E132" s="12"/>
      <c r="F132" s="12"/>
      <c r="G132" s="12"/>
      <c r="H132" s="12"/>
      <c r="I132" s="12"/>
      <c r="J132" s="12"/>
      <c r="K132" s="12"/>
      <c r="L132" s="12"/>
      <c r="M132" s="12"/>
      <c r="N132" s="12"/>
      <c r="O132" s="12"/>
      <c r="P132" s="12"/>
      <c r="Q132" s="6"/>
    </row>
    <row r="133" spans="2:17" ht="5.25" customHeight="1">
      <c r="B133" s="4"/>
      <c r="C133" s="12"/>
      <c r="D133" s="12"/>
      <c r="E133" s="12"/>
      <c r="F133" s="12"/>
      <c r="G133" s="12"/>
      <c r="H133" s="12"/>
      <c r="I133" s="12"/>
      <c r="J133" s="12"/>
      <c r="K133" s="12"/>
      <c r="L133" s="12"/>
      <c r="M133" s="12"/>
      <c r="N133" s="12"/>
      <c r="O133" s="12"/>
      <c r="P133" s="12"/>
      <c r="Q133" s="6"/>
    </row>
    <row r="134" spans="2:17" ht="3.75" customHeight="1" thickBot="1">
      <c r="B134" s="7"/>
      <c r="C134" s="8"/>
      <c r="D134" s="8"/>
      <c r="E134" s="8"/>
      <c r="F134" s="8"/>
      <c r="G134" s="8"/>
      <c r="H134" s="8"/>
      <c r="I134" s="8"/>
      <c r="J134" s="8"/>
      <c r="K134" s="8"/>
      <c r="L134" s="8"/>
      <c r="M134" s="8"/>
      <c r="N134" s="8"/>
      <c r="O134" s="8"/>
      <c r="P134" s="8"/>
      <c r="Q134" s="9"/>
    </row>
  </sheetData>
  <sheetProtection selectLockedCells="1" selectUnlockedCells="1"/>
  <mergeCells count="127">
    <mergeCell ref="C63:E63"/>
    <mergeCell ref="C53:P53"/>
    <mergeCell ref="G67:P67"/>
    <mergeCell ref="C37:P37"/>
    <mergeCell ref="C41:P41"/>
    <mergeCell ref="C45:P45"/>
    <mergeCell ref="C49:P49"/>
    <mergeCell ref="C39:D39"/>
    <mergeCell ref="C43:D43"/>
    <mergeCell ref="C55:F55"/>
    <mergeCell ref="C59:F59"/>
    <mergeCell ref="C61:P61"/>
    <mergeCell ref="C57:P57"/>
    <mergeCell ref="G71:P71"/>
    <mergeCell ref="C51:F51"/>
    <mergeCell ref="C47:E47"/>
    <mergeCell ref="C80:F80"/>
    <mergeCell ref="C95:P95"/>
    <mergeCell ref="G66:P66"/>
    <mergeCell ref="C67:F67"/>
    <mergeCell ref="G68:P68"/>
    <mergeCell ref="G69:P69"/>
    <mergeCell ref="G70:P70"/>
    <mergeCell ref="C68:F68"/>
    <mergeCell ref="C69:F69"/>
    <mergeCell ref="C70:F70"/>
    <mergeCell ref="C64:M64"/>
    <mergeCell ref="C66:F66"/>
    <mergeCell ref="C72:F72"/>
    <mergeCell ref="C75:F75"/>
    <mergeCell ref="C71:F71"/>
    <mergeCell ref="C77:F77"/>
    <mergeCell ref="G84:P84"/>
    <mergeCell ref="C78:F78"/>
    <mergeCell ref="C82:F82"/>
    <mergeCell ref="C83:F83"/>
    <mergeCell ref="C73:F73"/>
    <mergeCell ref="H131:P131"/>
    <mergeCell ref="G72:P72"/>
    <mergeCell ref="G73:P73"/>
    <mergeCell ref="G74:P74"/>
    <mergeCell ref="G75:P75"/>
    <mergeCell ref="G76:P76"/>
    <mergeCell ref="G77:P77"/>
    <mergeCell ref="G78:P78"/>
    <mergeCell ref="G79:P79"/>
    <mergeCell ref="G80:P80"/>
    <mergeCell ref="G81:P81"/>
    <mergeCell ref="G82:P82"/>
    <mergeCell ref="C96:P96"/>
    <mergeCell ref="G85:P85"/>
    <mergeCell ref="C86:F86"/>
    <mergeCell ref="C79:F79"/>
    <mergeCell ref="C74:F74"/>
    <mergeCell ref="C81:F81"/>
    <mergeCell ref="K99:M99"/>
    <mergeCell ref="K105:M105"/>
    <mergeCell ref="K106:M106"/>
    <mergeCell ref="C76:F76"/>
    <mergeCell ref="G86:P86"/>
    <mergeCell ref="C90:E90"/>
    <mergeCell ref="C7:D7"/>
    <mergeCell ref="C25:D25"/>
    <mergeCell ref="C32:D32"/>
    <mergeCell ref="C35:D35"/>
    <mergeCell ref="E29:L29"/>
    <mergeCell ref="E30:L30"/>
    <mergeCell ref="C27:L27"/>
    <mergeCell ref="C19:M19"/>
    <mergeCell ref="C22:M22"/>
    <mergeCell ref="C23:M23"/>
    <mergeCell ref="C18:P18"/>
    <mergeCell ref="C20:P20"/>
    <mergeCell ref="C21:P21"/>
    <mergeCell ref="C14:P15"/>
    <mergeCell ref="C8:P8"/>
    <mergeCell ref="C9:P10"/>
    <mergeCell ref="C11:P11"/>
    <mergeCell ref="C13:P13"/>
    <mergeCell ref="C34:P34"/>
    <mergeCell ref="C12:P12"/>
    <mergeCell ref="G83:P83"/>
    <mergeCell ref="I98:M98"/>
    <mergeCell ref="C124:N124"/>
    <mergeCell ref="E110:H110"/>
    <mergeCell ref="C92:P92"/>
    <mergeCell ref="E107:H107"/>
    <mergeCell ref="C88:E88"/>
    <mergeCell ref="C89:P89"/>
    <mergeCell ref="N98:P98"/>
    <mergeCell ref="C91:P91"/>
    <mergeCell ref="C94:P94"/>
    <mergeCell ref="C93:P93"/>
    <mergeCell ref="E109:H109"/>
    <mergeCell ref="K107:M107"/>
    <mergeCell ref="E108:H108"/>
    <mergeCell ref="K109:M109"/>
    <mergeCell ref="E105:H105"/>
    <mergeCell ref="E106:H106"/>
    <mergeCell ref="K111:M111"/>
    <mergeCell ref="K104:M104"/>
    <mergeCell ref="K103:M103"/>
    <mergeCell ref="E104:H104"/>
    <mergeCell ref="C125:N125"/>
    <mergeCell ref="C126:N126"/>
    <mergeCell ref="C123:M123"/>
    <mergeCell ref="C84:F84"/>
    <mergeCell ref="C116:G116"/>
    <mergeCell ref="C118:N118"/>
    <mergeCell ref="C119:N119"/>
    <mergeCell ref="C117:P117"/>
    <mergeCell ref="C120:O120"/>
    <mergeCell ref="C122:O122"/>
    <mergeCell ref="K100:M100"/>
    <mergeCell ref="E100:H100"/>
    <mergeCell ref="E102:H102"/>
    <mergeCell ref="C98:H98"/>
    <mergeCell ref="K112:M112"/>
    <mergeCell ref="K113:M113"/>
    <mergeCell ref="K110:M110"/>
    <mergeCell ref="K101:M101"/>
    <mergeCell ref="K102:M102"/>
    <mergeCell ref="E101:H101"/>
    <mergeCell ref="E103:H103"/>
    <mergeCell ref="E99:H99"/>
    <mergeCell ref="K108:M108"/>
    <mergeCell ref="C85:F85"/>
  </mergeCells>
  <hyperlinks>
    <hyperlink ref="C117:P117" r:id="rId1" display="a) Go to this link:  https://environment.data.gov.uk/catchment-planning/ManagementCatchment/3008" xr:uid="{443C11E4-AF5A-4503-8CDB-68D87D118C16}"/>
    <hyperlink ref="C123:M123" r:id="rId2" display="a) Go to this link: https://mapapps2.bgs.ac.uk/ukso/home.html?layers=NVZEng" xr:uid="{5CB20928-4FB0-43A0-8DF5-6B31235ED407}"/>
    <hyperlink ref="C92:P92" r:id="rId3" display="The user should use the Soilscapes tool (Cranfield soil and Agrifood institute, 2020) to determine the dominant soil type on their site. Soilscapes can be found at http://www.landis.org.uk/soilscapes/index.cfm" xr:uid="{678895F5-D3CD-40CB-93B2-A8B2B7C391D7}"/>
    <hyperlink ref="C37:M37" r:id="rId4" display="https://gridreferencefinder.com/" xr:uid="{441FD6F1-CD4D-4BB3-822F-128325DF33AF}"/>
    <hyperlink ref="C34:P34" r:id="rId5" display="https://www.theseptictankstore.co.uk/wp-content/uploads/British_Water_flows_and_loads.pdf" xr:uid="{5C770F0F-02A7-4A56-8C1E-A4D3A9B2D4B9}"/>
  </hyperlinks>
  <pageMargins left="0.7" right="0.7" top="0.75" bottom="0.75" header="0.3" footer="0.3"/>
  <pageSetup paperSize="9" scale="55" fitToWidth="0" fitToHeight="0" orientation="portrait" horizontalDpi="360" verticalDpi="360" r:id="rId6"/>
  <rowBreaks count="1" manualBreakCount="1">
    <brk id="46" max="16383" man="1"/>
  </rowBreaks>
  <colBreaks count="1" manualBreakCount="1">
    <brk id="1" max="1048575" man="1"/>
  </colBreaks>
  <customProperties>
    <customPr name="SSC_SHEET_GUID" r:id="rId7"/>
  </customProperties>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F13BD-B39F-422F-9176-9130D47FCF77}">
  <sheetPr codeName="Sheet11">
    <tabColor theme="7" tint="0.79998168889431442"/>
    <pageSetUpPr fitToPage="1"/>
  </sheetPr>
  <dimension ref="A1:S17"/>
  <sheetViews>
    <sheetView workbookViewId="0">
      <selection activeCell="AB13" sqref="AB13"/>
    </sheetView>
  </sheetViews>
  <sheetFormatPr defaultRowHeight="12.6"/>
  <cols>
    <col min="2" max="3" width="0.85546875" customWidth="1"/>
    <col min="4" max="4" width="2.140625" customWidth="1"/>
    <col min="5" max="5" width="13.140625" customWidth="1"/>
    <col min="6" max="6" width="8.140625" customWidth="1"/>
    <col min="10" max="10" width="11.140625" customWidth="1"/>
    <col min="11" max="11" width="18.140625" customWidth="1"/>
    <col min="12" max="12" width="6.7109375" customWidth="1"/>
    <col min="13" max="13" width="16.140625" customWidth="1"/>
    <col min="14" max="14" width="6.42578125" customWidth="1"/>
    <col min="15" max="15" width="14.140625" customWidth="1"/>
    <col min="16" max="16" width="5.7109375" customWidth="1"/>
    <col min="18" max="18" width="4.140625" customWidth="1"/>
    <col min="19" max="19" width="0.85546875" customWidth="1"/>
  </cols>
  <sheetData>
    <row r="1" spans="1:19" ht="13.5" thickBot="1">
      <c r="A1" s="38" t="s">
        <v>33</v>
      </c>
    </row>
    <row r="2" spans="1:19" ht="15.6">
      <c r="B2" s="41"/>
      <c r="C2" s="240"/>
      <c r="D2" s="240"/>
      <c r="E2" s="240"/>
      <c r="F2" s="240"/>
      <c r="G2" s="240"/>
      <c r="H2" s="240"/>
      <c r="I2" s="240"/>
      <c r="J2" s="240"/>
      <c r="K2" s="240"/>
      <c r="L2" s="240"/>
      <c r="M2" s="240"/>
      <c r="N2" s="240"/>
      <c r="O2" s="240"/>
      <c r="P2" s="240"/>
      <c r="Q2" s="240"/>
      <c r="R2" s="240"/>
      <c r="S2" s="3"/>
    </row>
    <row r="3" spans="1:19" ht="37.5" customHeight="1">
      <c r="B3" s="44"/>
      <c r="C3" s="64"/>
      <c r="D3" s="66"/>
      <c r="E3" s="119" t="s">
        <v>33</v>
      </c>
      <c r="F3" s="440" t="s">
        <v>322</v>
      </c>
      <c r="G3" s="440"/>
      <c r="H3" s="440"/>
      <c r="I3" s="440"/>
      <c r="J3" s="440"/>
      <c r="K3" s="440"/>
      <c r="L3" s="440"/>
      <c r="M3" s="440"/>
      <c r="N3" s="440"/>
      <c r="O3" s="440"/>
      <c r="P3" s="440"/>
      <c r="Q3" s="156"/>
      <c r="R3" s="156"/>
      <c r="S3" s="6"/>
    </row>
    <row r="4" spans="1:19" ht="15.6">
      <c r="B4" s="44"/>
      <c r="C4" s="104"/>
      <c r="D4" s="104"/>
      <c r="E4" s="175"/>
      <c r="F4" s="175"/>
      <c r="G4" s="175"/>
      <c r="H4" s="175"/>
      <c r="I4" s="175"/>
      <c r="J4" s="175"/>
      <c r="K4" s="175"/>
      <c r="L4" s="175"/>
      <c r="M4" s="175"/>
      <c r="N4" s="175"/>
      <c r="O4" s="175"/>
      <c r="P4" s="175"/>
      <c r="Q4" s="175"/>
      <c r="R4" s="175"/>
      <c r="S4" s="6"/>
    </row>
    <row r="5" spans="1:19" ht="15.75" customHeight="1">
      <c r="B5" s="44"/>
      <c r="C5" s="104"/>
      <c r="D5" s="104"/>
      <c r="E5" s="46" t="s">
        <v>143</v>
      </c>
      <c r="F5" s="377" t="s">
        <v>323</v>
      </c>
      <c r="G5" s="377"/>
      <c r="H5" s="377"/>
      <c r="I5" s="377"/>
      <c r="J5" s="377"/>
      <c r="K5" s="66" t="s">
        <v>324</v>
      </c>
      <c r="L5" s="66"/>
      <c r="M5" s="66" t="s">
        <v>325</v>
      </c>
      <c r="N5" s="66"/>
      <c r="O5" s="66" t="s">
        <v>326</v>
      </c>
      <c r="P5" s="175"/>
      <c r="Q5" s="175"/>
      <c r="R5" s="175"/>
      <c r="S5" s="6"/>
    </row>
    <row r="6" spans="1:19" ht="26.45" customHeight="1">
      <c r="B6" s="44"/>
      <c r="C6" s="47"/>
      <c r="D6" s="47"/>
      <c r="E6" s="175"/>
      <c r="F6" s="175"/>
      <c r="G6" s="175"/>
      <c r="H6" s="175"/>
      <c r="I6" s="175"/>
      <c r="J6" s="175"/>
      <c r="K6" s="104" t="s">
        <v>145</v>
      </c>
      <c r="L6" s="104"/>
      <c r="M6" s="104" t="s">
        <v>145</v>
      </c>
      <c r="N6" s="224"/>
      <c r="O6" s="104" t="s">
        <v>145</v>
      </c>
      <c r="P6" s="104"/>
      <c r="Q6" s="104" t="s">
        <v>327</v>
      </c>
      <c r="R6" s="175"/>
      <c r="S6" s="6"/>
    </row>
    <row r="7" spans="1:19" ht="15.6">
      <c r="B7" s="44"/>
      <c r="C7" s="47"/>
      <c r="D7" s="47"/>
      <c r="E7" s="159"/>
      <c r="F7" s="437" t="s">
        <v>308</v>
      </c>
      <c r="G7" s="437"/>
      <c r="H7" s="437"/>
      <c r="I7" s="437"/>
      <c r="J7" s="437"/>
      <c r="K7" s="241">
        <f>IF('Mitigation look up - current'!L67&gt;0,'Mitigation look up - current'!P67,'Mitigation look up - current'!L80)</f>
        <v>0</v>
      </c>
      <c r="L7" s="159"/>
      <c r="M7" s="241">
        <f>IF('Mitigation look up - post 2030'!L67&gt;0,'Mitigation look up - current'!P67,'Mitigation look up - current'!L80)</f>
        <v>0</v>
      </c>
      <c r="N7" s="159"/>
      <c r="O7" s="241">
        <f t="shared" ref="O7:O12" si="0">M7-K7</f>
        <v>0</v>
      </c>
      <c r="P7" s="159"/>
      <c r="Q7" s="161" t="s">
        <v>222</v>
      </c>
      <c r="R7" s="159"/>
      <c r="S7" s="6"/>
    </row>
    <row r="8" spans="1:19" ht="15.6">
      <c r="B8" s="44"/>
      <c r="C8" s="47"/>
      <c r="D8" s="47"/>
      <c r="E8" s="46"/>
      <c r="F8" s="437" t="s">
        <v>328</v>
      </c>
      <c r="G8" s="437"/>
      <c r="H8" s="437"/>
      <c r="I8" s="437"/>
      <c r="J8" s="437"/>
      <c r="K8" s="241">
        <f>IF('Mitigation look up - current'!L68&gt;0,'Mitigation look up - current'!P68,'Mitigation look up - current'!L81)</f>
        <v>0</v>
      </c>
      <c r="L8" s="103"/>
      <c r="M8" s="241">
        <f>IF('Mitigation look up - post 2030'!L68&gt;0,'Mitigation look up - current'!P68,'Mitigation look up - current'!L81)</f>
        <v>0</v>
      </c>
      <c r="N8" s="103"/>
      <c r="O8" s="241">
        <f t="shared" si="0"/>
        <v>0</v>
      </c>
      <c r="P8" s="47"/>
      <c r="Q8" s="161" t="s">
        <v>222</v>
      </c>
      <c r="R8" s="47"/>
      <c r="S8" s="6"/>
    </row>
    <row r="9" spans="1:19" ht="15.6">
      <c r="B9" s="44"/>
      <c r="C9" s="47"/>
      <c r="D9" s="47"/>
      <c r="E9" s="47"/>
      <c r="F9" s="437" t="s">
        <v>73</v>
      </c>
      <c r="G9" s="437"/>
      <c r="H9" s="437"/>
      <c r="I9" s="437"/>
      <c r="J9" s="437"/>
      <c r="K9" s="241">
        <f>IF('Mitigation look up - current'!L69&gt;0,'Mitigation look up - current'!P69,'Mitigation look up - current'!L82)</f>
        <v>0</v>
      </c>
      <c r="L9" s="167"/>
      <c r="M9" s="241">
        <f>IF('Mitigation look up - post 2030'!L69&gt;0,'Mitigation look up - current'!P69,'Mitigation look up - current'!L82)</f>
        <v>0</v>
      </c>
      <c r="N9" s="167"/>
      <c r="O9" s="241">
        <f t="shared" si="0"/>
        <v>0</v>
      </c>
      <c r="P9" s="47"/>
      <c r="Q9" s="161" t="s">
        <v>222</v>
      </c>
      <c r="R9" s="47"/>
      <c r="S9" s="6"/>
    </row>
    <row r="10" spans="1:19" ht="15.6">
      <c r="B10" s="44"/>
      <c r="C10" s="47"/>
      <c r="D10" s="47"/>
      <c r="E10" s="47"/>
      <c r="F10" s="437" t="s">
        <v>69</v>
      </c>
      <c r="G10" s="437"/>
      <c r="H10" s="437"/>
      <c r="I10" s="437"/>
      <c r="J10" s="437"/>
      <c r="K10" s="241">
        <f>IF('Mitigation look up - current'!L70&gt;0,'Mitigation look up - current'!P70,'Mitigation look up - current'!L83)</f>
        <v>0</v>
      </c>
      <c r="L10" s="47"/>
      <c r="M10" s="241">
        <f>IF('Mitigation look up - post 2030'!L70&gt;0,'Mitigation look up - current'!P70,'Mitigation look up - current'!L83)</f>
        <v>0</v>
      </c>
      <c r="N10" s="47"/>
      <c r="O10" s="241">
        <f t="shared" si="0"/>
        <v>0</v>
      </c>
      <c r="P10" s="47"/>
      <c r="Q10" s="161" t="s">
        <v>222</v>
      </c>
      <c r="R10" s="47"/>
      <c r="S10" s="6"/>
    </row>
    <row r="11" spans="1:19" ht="15.6">
      <c r="B11" s="44"/>
      <c r="C11" s="47"/>
      <c r="D11" s="47"/>
      <c r="E11" s="47"/>
      <c r="F11" s="437" t="s">
        <v>310</v>
      </c>
      <c r="G11" s="437"/>
      <c r="H11" s="437"/>
      <c r="I11" s="437"/>
      <c r="J11" s="437"/>
      <c r="K11" s="241">
        <f>IF('Mitigation look up - current'!L71&gt;0,'Mitigation look up - current'!P71,'Mitigation look up - current'!L84)</f>
        <v>0</v>
      </c>
      <c r="L11" s="47"/>
      <c r="M11" s="241">
        <f>IF('Mitigation look up - post 2030'!L71&gt;0,'Mitigation look up - current'!P71,'Mitigation look up - current'!L84)</f>
        <v>0</v>
      </c>
      <c r="N11" s="47"/>
      <c r="O11" s="241">
        <f t="shared" si="0"/>
        <v>0</v>
      </c>
      <c r="P11" s="47"/>
      <c r="Q11" s="161" t="s">
        <v>222</v>
      </c>
      <c r="R11" s="47"/>
      <c r="S11" s="6"/>
    </row>
    <row r="12" spans="1:19" ht="15.6">
      <c r="B12" s="44"/>
      <c r="C12" s="47"/>
      <c r="D12" s="47"/>
      <c r="E12" s="47"/>
      <c r="F12" s="437" t="s">
        <v>232</v>
      </c>
      <c r="G12" s="437"/>
      <c r="H12" s="437"/>
      <c r="I12" s="437"/>
      <c r="J12" s="437"/>
      <c r="K12" s="241">
        <f>IF('Mitigation look up - current'!L72&gt;0,'Mitigation look up - current'!P72,'Mitigation look up - current'!L85)</f>
        <v>0</v>
      </c>
      <c r="L12" s="47"/>
      <c r="M12" s="241">
        <f>IF('Mitigation look up - post 2030'!L72&gt;0,'Mitigation look up - current'!P72,'Mitigation look up - current'!L85)</f>
        <v>0</v>
      </c>
      <c r="N12" s="47"/>
      <c r="O12" s="241">
        <f t="shared" si="0"/>
        <v>0</v>
      </c>
      <c r="P12" s="47"/>
      <c r="Q12" s="161" t="s">
        <v>222</v>
      </c>
      <c r="R12" s="47"/>
      <c r="S12" s="6"/>
    </row>
    <row r="13" spans="1:19" ht="15.6">
      <c r="B13" s="44"/>
      <c r="C13" s="47"/>
      <c r="D13" s="47"/>
      <c r="E13" s="47"/>
      <c r="F13" s="47"/>
      <c r="G13" s="47"/>
      <c r="H13" s="47"/>
      <c r="I13" s="47"/>
      <c r="J13" s="47"/>
      <c r="K13" s="103"/>
      <c r="L13" s="47"/>
      <c r="M13" s="103"/>
      <c r="N13" s="47"/>
      <c r="O13" s="103"/>
      <c r="P13" s="47"/>
      <c r="Q13" s="161"/>
      <c r="R13" s="47"/>
      <c r="S13" s="6"/>
    </row>
    <row r="14" spans="1:19" ht="15.6">
      <c r="B14" s="44"/>
      <c r="C14" s="47"/>
      <c r="D14" s="47"/>
      <c r="E14" s="46"/>
      <c r="F14" s="105" t="s">
        <v>316</v>
      </c>
      <c r="G14" s="47"/>
      <c r="H14" s="47"/>
      <c r="I14" s="47"/>
      <c r="J14" s="47"/>
      <c r="K14" s="203">
        <f>SUM(K7:K12)</f>
        <v>0</v>
      </c>
      <c r="L14" s="103"/>
      <c r="M14" s="203">
        <f>SUM(M7:M12)</f>
        <v>0</v>
      </c>
      <c r="N14" s="47"/>
      <c r="O14" s="203">
        <f>SUM(O7:O12)</f>
        <v>0</v>
      </c>
      <c r="P14" s="47"/>
      <c r="Q14" s="167" t="s">
        <v>222</v>
      </c>
      <c r="R14" s="47"/>
      <c r="S14" s="6"/>
    </row>
    <row r="15" spans="1:19" ht="15.6">
      <c r="B15" s="44"/>
      <c r="C15" s="47"/>
      <c r="D15" s="47"/>
      <c r="E15" s="47"/>
      <c r="F15" s="47"/>
      <c r="G15" s="47"/>
      <c r="H15" s="47"/>
      <c r="I15" s="47"/>
      <c r="J15" s="47"/>
      <c r="K15" s="47"/>
      <c r="L15" s="47"/>
      <c r="M15" s="47"/>
      <c r="N15" s="47"/>
      <c r="O15" s="47"/>
      <c r="P15" s="47"/>
      <c r="Q15" s="47"/>
      <c r="R15" s="47"/>
      <c r="S15" s="6"/>
    </row>
    <row r="16" spans="1:19" ht="12.75" customHeight="1">
      <c r="B16" s="44"/>
      <c r="C16" s="47"/>
      <c r="D16" s="47"/>
      <c r="E16" s="434" t="s">
        <v>329</v>
      </c>
      <c r="F16" s="434"/>
      <c r="G16" s="434"/>
      <c r="H16" s="434"/>
      <c r="I16" s="434"/>
      <c r="J16" s="434"/>
      <c r="K16" s="434"/>
      <c r="L16" s="434"/>
      <c r="M16" s="434"/>
      <c r="N16" s="434"/>
      <c r="O16" s="434"/>
      <c r="P16" s="434"/>
      <c r="Q16" s="434"/>
      <c r="R16" s="47"/>
      <c r="S16" s="6"/>
    </row>
    <row r="17" spans="2:19" ht="23.25" customHeight="1" thickBot="1">
      <c r="B17" s="48"/>
      <c r="C17" s="228"/>
      <c r="D17" s="228"/>
      <c r="E17" s="457"/>
      <c r="F17" s="457"/>
      <c r="G17" s="457"/>
      <c r="H17" s="457"/>
      <c r="I17" s="457"/>
      <c r="J17" s="457"/>
      <c r="K17" s="457"/>
      <c r="L17" s="457"/>
      <c r="M17" s="457"/>
      <c r="N17" s="457"/>
      <c r="O17" s="457"/>
      <c r="P17" s="457"/>
      <c r="Q17" s="457"/>
      <c r="R17" s="242"/>
      <c r="S17" s="18"/>
    </row>
  </sheetData>
  <sheetProtection selectLockedCells="1"/>
  <mergeCells count="9">
    <mergeCell ref="F3:P3"/>
    <mergeCell ref="E16:Q17"/>
    <mergeCell ref="F5:J5"/>
    <mergeCell ref="F7:J7"/>
    <mergeCell ref="F8:J8"/>
    <mergeCell ref="F9:J9"/>
    <mergeCell ref="F10:J10"/>
    <mergeCell ref="F11:J11"/>
    <mergeCell ref="F12:J12"/>
  </mergeCells>
  <pageMargins left="0.70866141732283472" right="0.70866141732283472" top="0.74803149606299213" bottom="0.74803149606299213" header="0.31496062992125984" footer="0.31496062992125984"/>
  <pageSetup paperSize="9" scale="91" orientation="landscape" r:id="rId1"/>
  <headerFooter>
    <oddHeader>&amp;LPhosphate Budget Calculator&amp;CStage 7</oddHeader>
    <oddFooter>&amp;LVersion 2.2&amp;R&amp;D</oddFooter>
  </headerFooter>
  <customProperties>
    <customPr name="SSC_SHEET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DAD86-A958-4CDE-8DE8-EDCBC1121D46}">
  <sheetPr codeName="Sheet7"/>
  <dimension ref="B2:AL958"/>
  <sheetViews>
    <sheetView topLeftCell="B1" zoomScale="70" zoomScaleNormal="70" workbookViewId="0">
      <selection activeCell="L4" sqref="L4"/>
    </sheetView>
  </sheetViews>
  <sheetFormatPr defaultRowHeight="12.6"/>
  <cols>
    <col min="2" max="2" width="30.28515625" customWidth="1"/>
    <col min="3" max="3" width="23.5703125" customWidth="1"/>
    <col min="4" max="4" width="27" bestFit="1" customWidth="1"/>
    <col min="5" max="5" width="26.28515625" customWidth="1"/>
    <col min="6" max="6" width="29.42578125" customWidth="1"/>
    <col min="7" max="7" width="29.7109375" customWidth="1"/>
    <col min="8" max="8" width="31.5703125" customWidth="1"/>
    <col min="9" max="9" width="6.85546875" customWidth="1"/>
    <col min="10" max="10" width="5.5703125" customWidth="1"/>
    <col min="11" max="11" width="17" customWidth="1"/>
    <col min="12" max="12" width="43.5703125" customWidth="1"/>
    <col min="13" max="13" width="5.5703125" customWidth="1"/>
    <col min="14" max="14" width="16.140625" customWidth="1"/>
    <col min="15" max="15" width="6.85546875" customWidth="1"/>
    <col min="16" max="16" width="7.140625" customWidth="1"/>
    <col min="17" max="17" width="9.7109375" customWidth="1"/>
    <col min="18" max="18" width="8.85546875" customWidth="1"/>
    <col min="19" max="20" width="7.85546875" customWidth="1"/>
    <col min="21" max="21" width="8" customWidth="1"/>
    <col min="22" max="22" width="9.42578125" customWidth="1"/>
    <col min="23" max="23" width="15.140625" customWidth="1"/>
    <col min="24" max="24" width="9.5703125" customWidth="1"/>
    <col min="25" max="25" width="14.42578125" customWidth="1"/>
    <col min="26" max="26" width="15.5703125" customWidth="1"/>
    <col min="27" max="27" width="16" customWidth="1"/>
    <col min="28" max="28" width="13.140625" customWidth="1"/>
    <col min="29" max="29" width="7.5703125" customWidth="1"/>
    <col min="30" max="30" width="6.5703125" customWidth="1"/>
    <col min="31" max="31" width="7.5703125" customWidth="1"/>
    <col min="32" max="32" width="8.28515625" customWidth="1"/>
  </cols>
  <sheetData>
    <row r="2" spans="2:38" ht="54.95" customHeight="1" thickBot="1">
      <c r="B2" s="72" t="s">
        <v>330</v>
      </c>
      <c r="C2" s="73" t="s">
        <v>331</v>
      </c>
      <c r="D2" s="73" t="s">
        <v>332</v>
      </c>
      <c r="E2" s="73" t="s">
        <v>333</v>
      </c>
      <c r="F2" s="73" t="s">
        <v>334</v>
      </c>
      <c r="G2" s="97" t="s">
        <v>335</v>
      </c>
      <c r="H2" s="97" t="s">
        <v>336</v>
      </c>
      <c r="I2" s="38"/>
      <c r="J2" s="38"/>
      <c r="K2" s="71" t="s">
        <v>337</v>
      </c>
      <c r="L2" s="74" t="s">
        <v>338</v>
      </c>
      <c r="M2" s="38"/>
      <c r="N2" s="38"/>
      <c r="O2" s="38"/>
      <c r="P2" s="38"/>
      <c r="Q2" s="38"/>
      <c r="R2" s="38"/>
      <c r="S2" s="38"/>
      <c r="T2" s="38"/>
      <c r="U2" s="38"/>
      <c r="V2" s="38"/>
      <c r="W2" s="38"/>
      <c r="X2" s="38"/>
      <c r="Y2" s="38"/>
      <c r="Z2" s="38"/>
      <c r="AA2" s="38"/>
      <c r="AB2" s="38"/>
      <c r="AC2" s="38"/>
      <c r="AD2" s="38"/>
      <c r="AE2" s="38"/>
      <c r="AF2" s="38"/>
      <c r="AG2" s="38"/>
    </row>
    <row r="3" spans="2:38" ht="15" customHeight="1" thickBot="1">
      <c r="B3" s="75" t="s">
        <v>186</v>
      </c>
      <c r="C3" s="317">
        <v>5</v>
      </c>
      <c r="D3" s="76">
        <f>Table1[[#This Row],[2023 TP Permit limit (mg/l)]]</f>
        <v>5</v>
      </c>
      <c r="E3" s="316">
        <v>5</v>
      </c>
      <c r="F3" s="76">
        <f>Table1[[#This Row],[Post 2025 TP Permit limit (mg/l)]]</f>
        <v>5</v>
      </c>
      <c r="G3" s="318">
        <f>Table1[[#This Row],[Post 2025 TP Permit limit (mg/l)]]</f>
        <v>5</v>
      </c>
      <c r="H3" s="98">
        <f>Table1[[#This Row],[Post 2030 TP Permit Limit (mg/l)]]</f>
        <v>5</v>
      </c>
      <c r="I3" s="38"/>
      <c r="J3" s="38"/>
      <c r="K3" s="77" t="s">
        <v>339</v>
      </c>
      <c r="L3" s="78"/>
      <c r="M3" s="79"/>
      <c r="N3" s="264" t="s">
        <v>212</v>
      </c>
      <c r="O3" s="471" t="s">
        <v>340</v>
      </c>
      <c r="P3" s="472"/>
      <c r="Q3" s="472"/>
      <c r="R3" s="472"/>
      <c r="S3" s="472"/>
      <c r="T3" s="473"/>
      <c r="U3" s="471" t="s">
        <v>341</v>
      </c>
      <c r="V3" s="472"/>
      <c r="W3" s="472"/>
      <c r="X3" s="472"/>
      <c r="Y3" s="472"/>
      <c r="Z3" s="474"/>
      <c r="AA3" s="475" t="s">
        <v>342</v>
      </c>
      <c r="AB3" s="472"/>
      <c r="AC3" s="472"/>
      <c r="AD3" s="472"/>
      <c r="AE3" s="472"/>
      <c r="AF3" s="472"/>
      <c r="AG3" s="472" t="s">
        <v>343</v>
      </c>
      <c r="AH3" s="472"/>
      <c r="AI3" s="472"/>
      <c r="AJ3" s="472"/>
      <c r="AK3" s="472"/>
      <c r="AL3" s="474"/>
    </row>
    <row r="4" spans="2:38" ht="41.25" customHeight="1">
      <c r="B4" s="80" t="s">
        <v>344</v>
      </c>
      <c r="C4" s="326">
        <v>5</v>
      </c>
      <c r="D4" s="76">
        <f>Table1[[#This Row],[2023 TP Permit limit (mg/l)]]</f>
        <v>5</v>
      </c>
      <c r="E4" s="316">
        <v>5</v>
      </c>
      <c r="F4" s="76">
        <f>Table1[[#This Row],[Post 2025 TP Permit limit (mg/l)]]</f>
        <v>5</v>
      </c>
      <c r="G4" s="318">
        <f>Table1[[#This Row],[Post 2025 TP Permit limit (mg/l)]]</f>
        <v>5</v>
      </c>
      <c r="H4" s="98">
        <f>Table1[[#This Row],[Post 2030 TP Permit Limit (mg/l)]]</f>
        <v>5</v>
      </c>
      <c r="I4" s="38"/>
      <c r="J4" s="38"/>
      <c r="K4" s="77" t="s">
        <v>67</v>
      </c>
      <c r="L4" s="78">
        <v>0.02</v>
      </c>
      <c r="M4" s="79"/>
      <c r="N4" s="265" t="s">
        <v>37</v>
      </c>
      <c r="O4" s="464" t="s">
        <v>88</v>
      </c>
      <c r="P4" s="465"/>
      <c r="Q4" s="460" t="s">
        <v>345</v>
      </c>
      <c r="R4" s="461"/>
      <c r="S4" s="460" t="s">
        <v>346</v>
      </c>
      <c r="T4" s="463"/>
      <c r="U4" s="460" t="s">
        <v>88</v>
      </c>
      <c r="V4" s="463"/>
      <c r="W4" s="460" t="s">
        <v>345</v>
      </c>
      <c r="X4" s="461"/>
      <c r="Y4" s="462" t="s">
        <v>346</v>
      </c>
      <c r="Z4" s="461"/>
      <c r="AA4" s="462" t="s">
        <v>88</v>
      </c>
      <c r="AB4" s="463"/>
      <c r="AC4" s="460" t="s">
        <v>345</v>
      </c>
      <c r="AD4" s="461"/>
      <c r="AE4" s="462" t="s">
        <v>346</v>
      </c>
      <c r="AF4" s="461"/>
      <c r="AG4" s="476" t="s">
        <v>88</v>
      </c>
      <c r="AH4" s="477"/>
      <c r="AI4" s="460" t="s">
        <v>345</v>
      </c>
      <c r="AJ4" s="461"/>
      <c r="AK4" s="476" t="s">
        <v>346</v>
      </c>
      <c r="AL4" s="478"/>
    </row>
    <row r="5" spans="2:38" ht="15" customHeight="1">
      <c r="B5" s="80" t="s">
        <v>347</v>
      </c>
      <c r="C5" s="317">
        <v>5</v>
      </c>
      <c r="D5" s="76">
        <f>Table1[[#This Row],[2023 TP Permit limit (mg/l)]]</f>
        <v>5</v>
      </c>
      <c r="E5" s="316">
        <v>5</v>
      </c>
      <c r="F5" s="76">
        <f>Table1[[#This Row],[Post 2025 TP Permit limit (mg/l)]]</f>
        <v>5</v>
      </c>
      <c r="G5" s="318">
        <f>Table1[[#This Row],[Post 2025 TP Permit limit (mg/l)]]</f>
        <v>5</v>
      </c>
      <c r="H5" s="98">
        <f>Table1[[#This Row],[Post 2030 TP Permit Limit (mg/l)]]</f>
        <v>5</v>
      </c>
      <c r="I5" s="38"/>
      <c r="J5" s="38"/>
      <c r="K5" s="77" t="s">
        <v>69</v>
      </c>
      <c r="L5" s="78">
        <v>0.02</v>
      </c>
      <c r="M5" s="79"/>
      <c r="N5" s="266" t="s">
        <v>49</v>
      </c>
      <c r="O5" s="268">
        <v>0.19</v>
      </c>
      <c r="P5" s="259">
        <v>0.14000000000000001</v>
      </c>
      <c r="Q5" s="268">
        <v>0.19</v>
      </c>
      <c r="R5" s="259">
        <v>0.22</v>
      </c>
      <c r="S5" s="268">
        <v>0.19</v>
      </c>
      <c r="T5" s="269">
        <v>0.19</v>
      </c>
      <c r="U5" s="268">
        <v>0.21</v>
      </c>
      <c r="V5" s="269">
        <v>0.2</v>
      </c>
      <c r="W5" s="268">
        <v>0.36</v>
      </c>
      <c r="X5" s="259">
        <v>0.38</v>
      </c>
      <c r="Y5" s="263">
        <v>1.21</v>
      </c>
      <c r="Z5" s="259">
        <v>1.25</v>
      </c>
      <c r="AA5" s="263">
        <v>0.28999999999999998</v>
      </c>
      <c r="AB5" s="269">
        <v>0.28999999999999998</v>
      </c>
      <c r="AC5" s="268">
        <v>0.6</v>
      </c>
      <c r="AD5" s="259">
        <v>0.64</v>
      </c>
      <c r="AE5" s="263">
        <v>1.89</v>
      </c>
      <c r="AF5" s="259">
        <v>1.93</v>
      </c>
      <c r="AG5" s="112">
        <v>0.67</v>
      </c>
      <c r="AH5" s="271">
        <v>0.67</v>
      </c>
      <c r="AI5" s="111">
        <v>0.67</v>
      </c>
      <c r="AJ5" s="108">
        <v>0.67</v>
      </c>
      <c r="AK5" s="112">
        <v>0.67</v>
      </c>
      <c r="AL5" s="108">
        <v>0.67</v>
      </c>
    </row>
    <row r="6" spans="2:38" ht="15" customHeight="1">
      <c r="B6" s="80" t="s">
        <v>348</v>
      </c>
      <c r="C6" s="317">
        <v>5</v>
      </c>
      <c r="D6" s="76">
        <f>Table1[[#This Row],[2023 TP Permit limit (mg/l)]]</f>
        <v>5</v>
      </c>
      <c r="E6" s="316">
        <v>5</v>
      </c>
      <c r="F6" s="76">
        <f>Table1[[#This Row],[Post 2025 TP Permit limit (mg/l)]]</f>
        <v>5</v>
      </c>
      <c r="G6" s="318">
        <f>Table1[[#This Row],[Post 2025 TP Permit limit (mg/l)]]</f>
        <v>5</v>
      </c>
      <c r="H6" s="98">
        <f>Table1[[#This Row],[Post 2030 TP Permit Limit (mg/l)]]</f>
        <v>5</v>
      </c>
      <c r="I6" s="38"/>
      <c r="J6" s="38"/>
      <c r="K6" s="77" t="s">
        <v>233</v>
      </c>
      <c r="L6" s="78">
        <v>0.02</v>
      </c>
      <c r="M6" s="79"/>
      <c r="N6" s="266" t="s">
        <v>59</v>
      </c>
      <c r="O6" s="268">
        <v>7.0000000000000007E-2</v>
      </c>
      <c r="P6" s="259">
        <v>7.0000000000000007E-2</v>
      </c>
      <c r="Q6" s="268">
        <v>0.22</v>
      </c>
      <c r="R6" s="259">
        <v>0.11</v>
      </c>
      <c r="S6" s="268">
        <v>0.22</v>
      </c>
      <c r="T6" s="269">
        <v>0.45</v>
      </c>
      <c r="U6" s="268">
        <v>0.13</v>
      </c>
      <c r="V6" s="269">
        <v>0.12</v>
      </c>
      <c r="W6" s="268">
        <v>0.22</v>
      </c>
      <c r="X6" s="259">
        <v>0.22</v>
      </c>
      <c r="Y6" s="263">
        <v>0.71</v>
      </c>
      <c r="Z6" s="259">
        <v>0.77</v>
      </c>
      <c r="AA6" s="263">
        <v>0.2</v>
      </c>
      <c r="AB6" s="269">
        <v>0.2</v>
      </c>
      <c r="AC6" s="268">
        <v>0.38</v>
      </c>
      <c r="AD6" s="259">
        <v>0.38</v>
      </c>
      <c r="AE6" s="263">
        <v>1.27</v>
      </c>
      <c r="AF6" s="259">
        <v>1.27</v>
      </c>
      <c r="AG6" s="112">
        <v>1.29</v>
      </c>
      <c r="AH6" s="271">
        <v>0.27</v>
      </c>
      <c r="AI6" s="111">
        <v>1.29</v>
      </c>
      <c r="AJ6" s="108">
        <v>0.5</v>
      </c>
      <c r="AK6" s="112">
        <v>1.29</v>
      </c>
      <c r="AL6" s="108">
        <v>1.29</v>
      </c>
    </row>
    <row r="7" spans="2:38" ht="15" customHeight="1">
      <c r="B7" s="80" t="s">
        <v>349</v>
      </c>
      <c r="C7" s="317">
        <v>5</v>
      </c>
      <c r="D7" s="76">
        <f>Table1[[#This Row],[2023 TP Permit limit (mg/l)]]</f>
        <v>5</v>
      </c>
      <c r="E7" s="316">
        <v>5</v>
      </c>
      <c r="F7" s="76">
        <f>Table1[[#This Row],[Post 2025 TP Permit limit (mg/l)]]</f>
        <v>5</v>
      </c>
      <c r="G7" s="318">
        <f>Table1[[#This Row],[Post 2025 TP Permit limit (mg/l)]]</f>
        <v>5</v>
      </c>
      <c r="H7" s="98">
        <f>Table1[[#This Row],[Post 2030 TP Permit Limit (mg/l)]]</f>
        <v>5</v>
      </c>
      <c r="I7" s="38"/>
      <c r="J7" s="38"/>
      <c r="K7" s="77" t="s">
        <v>73</v>
      </c>
      <c r="L7" s="78">
        <v>0</v>
      </c>
      <c r="M7" s="38"/>
      <c r="N7" s="266" t="s">
        <v>350</v>
      </c>
      <c r="O7" s="268">
        <v>0.15</v>
      </c>
      <c r="P7" s="259">
        <v>0.08</v>
      </c>
      <c r="Q7" s="268">
        <v>0.15</v>
      </c>
      <c r="R7" s="259">
        <v>0.21</v>
      </c>
      <c r="S7" s="268">
        <v>0.15</v>
      </c>
      <c r="T7" s="269">
        <v>0.15</v>
      </c>
      <c r="U7" s="268">
        <v>0.16</v>
      </c>
      <c r="V7" s="269">
        <v>0.16</v>
      </c>
      <c r="W7" s="268">
        <v>0.43</v>
      </c>
      <c r="X7" s="259">
        <v>0.48</v>
      </c>
      <c r="Y7" s="263">
        <v>0.9</v>
      </c>
      <c r="Z7" s="259">
        <v>0.94</v>
      </c>
      <c r="AA7" s="263">
        <v>0.26</v>
      </c>
      <c r="AB7" s="269">
        <v>0.26</v>
      </c>
      <c r="AC7" s="268">
        <v>0.89</v>
      </c>
      <c r="AD7" s="259">
        <v>0.9</v>
      </c>
      <c r="AE7" s="263">
        <v>1.48</v>
      </c>
      <c r="AF7" s="259">
        <v>1.54</v>
      </c>
      <c r="AG7" s="112">
        <v>0.91</v>
      </c>
      <c r="AH7" s="271">
        <v>0.37</v>
      </c>
      <c r="AI7" s="111">
        <v>0.91</v>
      </c>
      <c r="AJ7" s="108">
        <v>1.44</v>
      </c>
      <c r="AK7" s="112">
        <v>0.91</v>
      </c>
      <c r="AL7" s="108">
        <v>0.91</v>
      </c>
    </row>
    <row r="8" spans="2:38" ht="15" customHeight="1">
      <c r="B8" s="81" t="s">
        <v>351</v>
      </c>
      <c r="C8" s="317">
        <v>5</v>
      </c>
      <c r="D8" s="76">
        <f>Table1[[#This Row],[2023 TP Permit limit (mg/l)]]</f>
        <v>5</v>
      </c>
      <c r="E8" s="316">
        <v>5</v>
      </c>
      <c r="F8" s="76">
        <f>Table1[[#This Row],[Post 2025 TP Permit limit (mg/l)]]</f>
        <v>5</v>
      </c>
      <c r="G8" s="318">
        <f>Table1[[#This Row],[Post 2025 TP Permit limit (mg/l)]]</f>
        <v>5</v>
      </c>
      <c r="H8" s="98">
        <f>Table1[[#This Row],[Post 2030 TP Permit Limit (mg/l)]]</f>
        <v>5</v>
      </c>
      <c r="I8" s="38"/>
      <c r="J8" s="38"/>
      <c r="K8" s="77" t="s">
        <v>308</v>
      </c>
      <c r="L8" s="78">
        <v>-8</v>
      </c>
      <c r="M8" s="38"/>
      <c r="N8" s="266" t="s">
        <v>227</v>
      </c>
      <c r="O8" s="268">
        <v>0.22</v>
      </c>
      <c r="P8" s="259">
        <v>0.14000000000000001</v>
      </c>
      <c r="Q8" s="268">
        <v>0.22</v>
      </c>
      <c r="R8" s="259">
        <v>0.3</v>
      </c>
      <c r="S8" s="268">
        <v>0.22</v>
      </c>
      <c r="T8" s="269">
        <v>0.22</v>
      </c>
      <c r="U8" s="268">
        <v>0.28000000000000003</v>
      </c>
      <c r="V8" s="269">
        <v>0.24</v>
      </c>
      <c r="W8" s="268">
        <v>0.54</v>
      </c>
      <c r="X8" s="259">
        <v>0.56999999999999995</v>
      </c>
      <c r="Y8" s="263">
        <v>1.07</v>
      </c>
      <c r="Z8" s="259">
        <v>1.01</v>
      </c>
      <c r="AA8" s="263">
        <v>0.43</v>
      </c>
      <c r="AB8" s="269">
        <v>0.37</v>
      </c>
      <c r="AC8" s="268">
        <v>0.96</v>
      </c>
      <c r="AD8" s="259">
        <v>1.01</v>
      </c>
      <c r="AE8" s="263">
        <v>1.68</v>
      </c>
      <c r="AF8" s="259">
        <v>1.62</v>
      </c>
      <c r="AG8" s="112">
        <v>0.48</v>
      </c>
      <c r="AH8" s="271">
        <v>0.48</v>
      </c>
      <c r="AI8" s="111">
        <v>0.48</v>
      </c>
      <c r="AJ8" s="108">
        <v>0.48</v>
      </c>
      <c r="AK8" s="112">
        <v>0.48</v>
      </c>
      <c r="AL8" s="108">
        <v>0.48</v>
      </c>
    </row>
    <row r="9" spans="2:38" ht="15" customHeight="1">
      <c r="B9" s="81" t="s">
        <v>352</v>
      </c>
      <c r="C9" s="327">
        <v>2.4300000000000002</v>
      </c>
      <c r="D9" s="76">
        <f>Table1[[#This Row],[2023 TP Permit limit (mg/l)]]</f>
        <v>2.4300000000000002</v>
      </c>
      <c r="E9" s="288">
        <v>1</v>
      </c>
      <c r="F9" s="76">
        <f>Table1[[#This Row],[Post 2025 TP Permit limit (mg/l)]]*0.9</f>
        <v>0.9</v>
      </c>
      <c r="G9" s="288">
        <v>0.25</v>
      </c>
      <c r="H9" s="98">
        <f>Table1[[#This Row],[Post 2030 TP Permit Limit (mg/l)]]*0.9</f>
        <v>0.22500000000000001</v>
      </c>
      <c r="I9" s="38"/>
      <c r="J9" s="38"/>
      <c r="K9" s="77" t="s">
        <v>353</v>
      </c>
      <c r="L9" s="84">
        <v>0.02</v>
      </c>
      <c r="M9" s="38"/>
      <c r="N9" s="266" t="s">
        <v>354</v>
      </c>
      <c r="O9" s="268">
        <v>0.16</v>
      </c>
      <c r="P9" s="259">
        <v>0.08</v>
      </c>
      <c r="Q9" s="268">
        <v>0.16</v>
      </c>
      <c r="R9" s="259">
        <v>0.27</v>
      </c>
      <c r="S9" s="268">
        <v>0.16</v>
      </c>
      <c r="T9" s="269">
        <v>0.16</v>
      </c>
      <c r="U9" s="268">
        <v>0.18</v>
      </c>
      <c r="V9" s="269">
        <v>0.18</v>
      </c>
      <c r="W9" s="268">
        <v>0.51</v>
      </c>
      <c r="X9" s="259">
        <v>0.56999999999999995</v>
      </c>
      <c r="Y9" s="263">
        <v>1.04</v>
      </c>
      <c r="Z9" s="259">
        <v>1.07</v>
      </c>
      <c r="AA9" s="263">
        <v>0.27</v>
      </c>
      <c r="AB9" s="269">
        <v>0.27</v>
      </c>
      <c r="AC9" s="268">
        <v>0.93</v>
      </c>
      <c r="AD9" s="259">
        <v>1.04</v>
      </c>
      <c r="AE9" s="263">
        <v>0.97</v>
      </c>
      <c r="AF9" s="259">
        <v>1.58</v>
      </c>
      <c r="AG9" s="112">
        <v>0.39</v>
      </c>
      <c r="AH9" s="271">
        <v>0.39</v>
      </c>
      <c r="AI9" s="111">
        <v>0.39</v>
      </c>
      <c r="AJ9" s="108">
        <v>0.39</v>
      </c>
      <c r="AK9" s="112">
        <v>0.39</v>
      </c>
      <c r="AL9" s="108">
        <v>0.39</v>
      </c>
    </row>
    <row r="10" spans="2:38" ht="15" customHeight="1">
      <c r="B10" s="80" t="s">
        <v>355</v>
      </c>
      <c r="C10" s="315">
        <v>5</v>
      </c>
      <c r="D10" s="76">
        <f>Table1[[#This Row],[2023 TP Permit limit (mg/l)]]</f>
        <v>5</v>
      </c>
      <c r="E10" s="316">
        <v>5</v>
      </c>
      <c r="F10" s="76">
        <f>Table1[[#This Row],[Post 2025 TP Permit limit (mg/l)]]</f>
        <v>5</v>
      </c>
      <c r="G10" s="316">
        <f>Table1[[#This Row],[Post 2025 TP Permit limit (mg/l)]]</f>
        <v>5</v>
      </c>
      <c r="H10" s="98">
        <f>Table1[[#This Row],[Post 2030 TP Permit Limit (mg/l)]]</f>
        <v>5</v>
      </c>
      <c r="I10" s="38"/>
      <c r="J10" s="38"/>
      <c r="K10" s="96"/>
      <c r="L10" s="95"/>
      <c r="M10" s="38"/>
      <c r="N10" s="266" t="s">
        <v>53</v>
      </c>
      <c r="O10" s="268">
        <v>0.04</v>
      </c>
      <c r="P10" s="259">
        <v>0.04</v>
      </c>
      <c r="Q10" s="268">
        <v>0.04</v>
      </c>
      <c r="R10" s="259">
        <v>0.04</v>
      </c>
      <c r="S10" s="268">
        <v>0.04</v>
      </c>
      <c r="T10" s="269">
        <v>0.04</v>
      </c>
      <c r="U10" s="268">
        <v>0.1</v>
      </c>
      <c r="V10" s="269">
        <v>0.12</v>
      </c>
      <c r="W10" s="268">
        <v>0.37</v>
      </c>
      <c r="X10" s="259">
        <v>0.5</v>
      </c>
      <c r="Y10" s="263">
        <v>0.57999999999999996</v>
      </c>
      <c r="Z10" s="259">
        <v>0.74</v>
      </c>
      <c r="AA10" s="263">
        <v>0.18</v>
      </c>
      <c r="AB10" s="269">
        <v>0.22</v>
      </c>
      <c r="AC10" s="268">
        <v>0.7</v>
      </c>
      <c r="AD10" s="259">
        <v>0.95</v>
      </c>
      <c r="AE10" s="263">
        <v>0.8</v>
      </c>
      <c r="AF10" s="259">
        <v>1.21</v>
      </c>
      <c r="AG10" s="112">
        <v>0.75</v>
      </c>
      <c r="AH10" s="271">
        <v>0.34</v>
      </c>
      <c r="AI10" s="111">
        <v>0.75</v>
      </c>
      <c r="AJ10" s="108">
        <v>1.1599999999999999</v>
      </c>
      <c r="AK10" s="112">
        <v>0.75</v>
      </c>
      <c r="AL10" s="108">
        <v>0.75</v>
      </c>
    </row>
    <row r="11" spans="2:38" ht="15" customHeight="1">
      <c r="B11" s="80" t="s">
        <v>356</v>
      </c>
      <c r="C11" s="286">
        <v>4.17</v>
      </c>
      <c r="D11" s="76">
        <f>Table1[[#This Row],[2023 TP Permit limit (mg/l)]]</f>
        <v>4.17</v>
      </c>
      <c r="E11" s="285">
        <v>4.17</v>
      </c>
      <c r="F11" s="76">
        <f>Table1[[#This Row],[Post 2025 TP Permit limit (mg/l)]]</f>
        <v>4.17</v>
      </c>
      <c r="G11" s="288">
        <v>0.25</v>
      </c>
      <c r="H11" s="98">
        <f>Table1[[#This Row],[Post 2030 TP Permit Limit (mg/l)]]*0.9</f>
        <v>0.22500000000000001</v>
      </c>
      <c r="I11" s="38"/>
      <c r="J11" s="38"/>
      <c r="K11" s="38"/>
      <c r="L11" s="82"/>
      <c r="M11" s="38"/>
      <c r="N11" s="266" t="s">
        <v>51</v>
      </c>
      <c r="O11" s="268">
        <v>0.18</v>
      </c>
      <c r="P11" s="259">
        <v>0.06</v>
      </c>
      <c r="Q11" s="268">
        <v>0.18</v>
      </c>
      <c r="R11" s="259">
        <v>0.28999999999999998</v>
      </c>
      <c r="S11" s="268">
        <v>0.18</v>
      </c>
      <c r="T11" s="269">
        <v>0.18</v>
      </c>
      <c r="U11" s="268">
        <v>0.16</v>
      </c>
      <c r="V11" s="269">
        <v>0.16</v>
      </c>
      <c r="W11" s="268">
        <v>0.63</v>
      </c>
      <c r="X11" s="259">
        <v>0.68</v>
      </c>
      <c r="Y11" s="263">
        <v>0.9</v>
      </c>
      <c r="Z11" s="259">
        <v>0.96</v>
      </c>
      <c r="AA11" s="263">
        <v>0.28000000000000003</v>
      </c>
      <c r="AB11" s="269">
        <v>0.28000000000000003</v>
      </c>
      <c r="AC11" s="268">
        <v>1.19</v>
      </c>
      <c r="AD11" s="259">
        <v>1.28</v>
      </c>
      <c r="AE11" s="263">
        <v>1.48</v>
      </c>
      <c r="AF11" s="259">
        <v>1.56</v>
      </c>
      <c r="AG11" s="112">
        <v>0.72</v>
      </c>
      <c r="AH11" s="271">
        <v>0.41</v>
      </c>
      <c r="AI11" s="111">
        <v>0.72</v>
      </c>
      <c r="AJ11" s="108">
        <v>1.95</v>
      </c>
      <c r="AK11" s="112">
        <v>0.72</v>
      </c>
      <c r="AL11" s="108">
        <v>0.72</v>
      </c>
    </row>
    <row r="12" spans="2:38" ht="15" customHeight="1">
      <c r="B12" s="81" t="s">
        <v>357</v>
      </c>
      <c r="C12" s="315">
        <v>5</v>
      </c>
      <c r="D12" s="76">
        <f>Table1[[#This Row],[2023 TP Permit limit (mg/l)]]</f>
        <v>5</v>
      </c>
      <c r="E12" s="316">
        <v>5</v>
      </c>
      <c r="F12" s="76">
        <f>Table1[[#This Row],[Post 2025 TP Permit limit (mg/l)]]</f>
        <v>5</v>
      </c>
      <c r="G12" s="316">
        <f>Table1[[#This Row],[Post 2025 TP Permit limit (mg/l)]]</f>
        <v>5</v>
      </c>
      <c r="H12" s="98">
        <f>Table1[[#This Row],[Post 2030 TP Permit Limit (mg/l)]]</f>
        <v>5</v>
      </c>
      <c r="I12" s="38"/>
      <c r="J12" s="38"/>
      <c r="K12" s="38"/>
      <c r="L12" s="82"/>
      <c r="M12" s="38"/>
      <c r="N12" s="266" t="s">
        <v>65</v>
      </c>
      <c r="O12" s="268">
        <v>0.21</v>
      </c>
      <c r="P12" s="259">
        <v>0.04</v>
      </c>
      <c r="Q12" s="268">
        <v>0.18</v>
      </c>
      <c r="R12" s="259">
        <v>0.18</v>
      </c>
      <c r="S12" s="268">
        <v>0.21</v>
      </c>
      <c r="T12" s="269">
        <v>0.37</v>
      </c>
      <c r="U12" s="268">
        <v>0.12</v>
      </c>
      <c r="V12" s="269">
        <v>0.12</v>
      </c>
      <c r="W12" s="268">
        <v>0.44</v>
      </c>
      <c r="X12" s="259">
        <v>0.44</v>
      </c>
      <c r="Y12" s="263">
        <v>0.65</v>
      </c>
      <c r="Z12" s="259">
        <v>0.7</v>
      </c>
      <c r="AA12" s="263">
        <v>0.22</v>
      </c>
      <c r="AB12" s="269">
        <v>0.22</v>
      </c>
      <c r="AC12" s="268">
        <v>0.73</v>
      </c>
      <c r="AD12" s="259">
        <v>0.83</v>
      </c>
      <c r="AE12" s="263">
        <v>1.1100000000000001</v>
      </c>
      <c r="AF12" s="259">
        <v>1.19</v>
      </c>
      <c r="AG12" s="112">
        <v>0.57999999999999996</v>
      </c>
      <c r="AH12" s="271">
        <v>0.32</v>
      </c>
      <c r="AI12" s="111">
        <v>0.57999999999999996</v>
      </c>
      <c r="AJ12" s="108">
        <v>0.57999999999999996</v>
      </c>
      <c r="AK12" s="112">
        <v>0.57999999999999996</v>
      </c>
      <c r="AL12" s="108">
        <v>0.57999999999999996</v>
      </c>
    </row>
    <row r="13" spans="2:38" ht="15" customHeight="1">
      <c r="B13" s="81" t="s">
        <v>358</v>
      </c>
      <c r="C13" s="328">
        <v>0</v>
      </c>
      <c r="D13" s="76">
        <f>Table1[[#This Row],[2023 TP Permit limit (mg/l)]]</f>
        <v>0</v>
      </c>
      <c r="E13" s="285">
        <v>0</v>
      </c>
      <c r="F13" s="331">
        <f>Table1[[#This Row],[Post 2025 TP Permit limit (mg/l)]]</f>
        <v>0</v>
      </c>
      <c r="G13" s="99">
        <f>Table1[[#This Row],[Post 2025 TP Permit limit (mg/l)]]</f>
        <v>0</v>
      </c>
      <c r="H13" s="98">
        <f>Table1[[#This Row],[Post 2030 TP Permit Limit (mg/l)]]</f>
        <v>0</v>
      </c>
      <c r="I13" s="38"/>
      <c r="J13" s="38"/>
      <c r="K13" s="38"/>
      <c r="L13" s="82"/>
      <c r="M13" s="38"/>
      <c r="N13" s="266" t="s">
        <v>339</v>
      </c>
      <c r="O13" s="268">
        <v>0.21</v>
      </c>
      <c r="P13" s="259">
        <v>0.21</v>
      </c>
      <c r="Q13" s="268">
        <v>0.21</v>
      </c>
      <c r="R13" s="259">
        <v>0.21</v>
      </c>
      <c r="S13" s="268">
        <v>0.21</v>
      </c>
      <c r="T13" s="269">
        <v>0.21</v>
      </c>
      <c r="U13" s="268">
        <v>0.12</v>
      </c>
      <c r="V13" s="269">
        <v>0.12</v>
      </c>
      <c r="W13" s="268">
        <v>0.12</v>
      </c>
      <c r="X13" s="259">
        <v>0.12</v>
      </c>
      <c r="Y13" s="263">
        <v>0.12</v>
      </c>
      <c r="Z13" s="259">
        <v>0.12</v>
      </c>
      <c r="AA13" s="263">
        <v>0.22</v>
      </c>
      <c r="AB13" s="269">
        <v>0.22</v>
      </c>
      <c r="AC13" s="268">
        <v>0.22</v>
      </c>
      <c r="AD13" s="259">
        <v>0.22</v>
      </c>
      <c r="AE13" s="263">
        <v>0.22</v>
      </c>
      <c r="AF13" s="259">
        <v>0.22</v>
      </c>
      <c r="AG13" s="87">
        <v>0.32</v>
      </c>
      <c r="AH13" s="88">
        <v>0.32</v>
      </c>
      <c r="AI13" s="107">
        <v>0.32</v>
      </c>
      <c r="AJ13" s="260">
        <v>0.32</v>
      </c>
      <c r="AK13" s="87">
        <v>0.32</v>
      </c>
      <c r="AL13" s="260">
        <v>0.32</v>
      </c>
    </row>
    <row r="14" spans="2:38" ht="15" customHeight="1" thickBot="1">
      <c r="B14" s="261" t="s">
        <v>359</v>
      </c>
      <c r="C14" s="329">
        <v>0.5</v>
      </c>
      <c r="D14" s="76">
        <f>Table1[[#This Row],[2023 TP Permit limit (mg/l)]]*0.9</f>
        <v>0.45</v>
      </c>
      <c r="E14" s="288">
        <v>0.5</v>
      </c>
      <c r="F14" s="76">
        <f>Table1[[#This Row],[Post 2025 TP Permit limit (mg/l)]]*0.9</f>
        <v>0.45</v>
      </c>
      <c r="G14" s="288">
        <v>0.5</v>
      </c>
      <c r="H14" s="98">
        <f>Table1[[#This Row],[Post 2030 TP Permit Limit (mg/l)]]*0.9</f>
        <v>0.45</v>
      </c>
      <c r="I14" s="38"/>
      <c r="J14" s="38"/>
      <c r="K14" s="38"/>
      <c r="L14" s="82"/>
      <c r="M14" s="38"/>
      <c r="N14" s="272" t="s">
        <v>57</v>
      </c>
      <c r="O14" s="273">
        <v>0.06</v>
      </c>
      <c r="P14" s="274">
        <v>0.06</v>
      </c>
      <c r="Q14" s="273">
        <v>0.06</v>
      </c>
      <c r="R14" s="274">
        <v>0.06</v>
      </c>
      <c r="S14" s="273">
        <v>0.06</v>
      </c>
      <c r="T14" s="255">
        <v>0.06</v>
      </c>
      <c r="U14" s="109">
        <v>0.1</v>
      </c>
      <c r="V14" s="270">
        <v>0.1</v>
      </c>
      <c r="W14" s="109">
        <v>0.11</v>
      </c>
      <c r="X14" s="110">
        <v>0.12</v>
      </c>
      <c r="Y14" s="113">
        <v>0.24</v>
      </c>
      <c r="Z14" s="110">
        <v>0.51</v>
      </c>
      <c r="AA14" s="89">
        <v>0.16</v>
      </c>
      <c r="AB14" s="255">
        <v>0.16</v>
      </c>
      <c r="AC14" s="273">
        <v>0.18</v>
      </c>
      <c r="AD14" s="274">
        <v>0.18</v>
      </c>
      <c r="AE14" s="89">
        <v>0.45</v>
      </c>
      <c r="AF14" s="274">
        <v>1.01</v>
      </c>
      <c r="AG14" s="89">
        <v>0.26</v>
      </c>
      <c r="AH14" s="255">
        <v>0.22</v>
      </c>
      <c r="AI14" s="273">
        <v>0.26</v>
      </c>
      <c r="AJ14" s="275">
        <v>0.3</v>
      </c>
      <c r="AK14" s="89">
        <v>0.26</v>
      </c>
      <c r="AL14" s="274">
        <v>0.26</v>
      </c>
    </row>
    <row r="15" spans="2:38" ht="15" customHeight="1" thickBot="1">
      <c r="B15" s="81" t="s">
        <v>360</v>
      </c>
      <c r="C15" s="287">
        <v>2</v>
      </c>
      <c r="D15" s="76">
        <f>Table1[[#This Row],[2023 TP Permit limit (mg/l)]]*0.9</f>
        <v>1.8</v>
      </c>
      <c r="E15" s="288">
        <v>2</v>
      </c>
      <c r="F15" s="76">
        <f>Table1[[#This Row],[Post 2025 TP Permit limit (mg/l)]]*0.9</f>
        <v>1.8</v>
      </c>
      <c r="G15" s="288">
        <v>0.25</v>
      </c>
      <c r="H15" s="98">
        <f>Table1[[#This Row],[Post 2030 TP Permit Limit (mg/l)]]*0.9</f>
        <v>0.22500000000000001</v>
      </c>
      <c r="I15" s="38"/>
      <c r="J15" s="38"/>
      <c r="K15" s="38"/>
      <c r="L15" s="82"/>
      <c r="M15" s="38"/>
      <c r="N15" s="276" t="s">
        <v>361</v>
      </c>
      <c r="O15" s="466" t="s">
        <v>362</v>
      </c>
      <c r="P15" s="467"/>
      <c r="Q15" s="467"/>
      <c r="R15" s="467"/>
      <c r="S15" s="467"/>
      <c r="T15" s="468"/>
      <c r="U15" s="466" t="s">
        <v>340</v>
      </c>
      <c r="V15" s="467"/>
      <c r="W15" s="467"/>
      <c r="X15" s="467"/>
      <c r="Y15" s="467"/>
      <c r="Z15" s="468"/>
      <c r="AA15" s="466" t="s">
        <v>341</v>
      </c>
      <c r="AB15" s="467"/>
      <c r="AC15" s="467"/>
      <c r="AD15" s="467"/>
      <c r="AE15" s="467"/>
      <c r="AF15" s="468"/>
      <c r="AG15" s="469" t="s">
        <v>341</v>
      </c>
      <c r="AH15" s="467"/>
      <c r="AI15" s="467"/>
      <c r="AJ15" s="467"/>
      <c r="AK15" s="467"/>
      <c r="AL15" s="468"/>
    </row>
    <row r="16" spans="2:38" ht="15" customHeight="1">
      <c r="B16" s="81" t="s">
        <v>363</v>
      </c>
      <c r="C16" s="315">
        <v>5</v>
      </c>
      <c r="D16" s="76">
        <f>Table1[[#This Row],[2023 TP Permit limit (mg/l)]]</f>
        <v>5</v>
      </c>
      <c r="E16" s="316">
        <v>5</v>
      </c>
      <c r="F16" s="76">
        <f>Table1[[#This Row],[Post 2025 TP Permit limit (mg/l)]]</f>
        <v>5</v>
      </c>
      <c r="G16" s="316">
        <f>Table1[[#This Row],[Post 2025 TP Permit limit (mg/l)]]</f>
        <v>5</v>
      </c>
      <c r="H16" s="98">
        <f>Table1[[#This Row],[Post 2030 TP Permit Limit (mg/l)]]</f>
        <v>5</v>
      </c>
      <c r="I16" s="38"/>
      <c r="J16" s="38"/>
      <c r="K16" s="38"/>
      <c r="L16" s="82"/>
      <c r="M16" s="38"/>
      <c r="N16" s="277" t="s">
        <v>37</v>
      </c>
      <c r="O16" s="278" t="s">
        <v>88</v>
      </c>
      <c r="P16" s="279"/>
      <c r="Q16" s="460" t="s">
        <v>345</v>
      </c>
      <c r="R16" s="461"/>
      <c r="S16" s="460" t="s">
        <v>346</v>
      </c>
      <c r="T16" s="461"/>
      <c r="U16" s="460" t="s">
        <v>88</v>
      </c>
      <c r="V16" s="461"/>
      <c r="W16" s="460" t="s">
        <v>345</v>
      </c>
      <c r="X16" s="461"/>
      <c r="Y16" s="460" t="s">
        <v>346</v>
      </c>
      <c r="Z16" s="461"/>
      <c r="AA16" s="460" t="s">
        <v>88</v>
      </c>
      <c r="AB16" s="461"/>
      <c r="AC16" s="460" t="s">
        <v>345</v>
      </c>
      <c r="AD16" s="461"/>
      <c r="AE16" s="460" t="s">
        <v>346</v>
      </c>
      <c r="AF16" s="461"/>
      <c r="AG16" s="460" t="s">
        <v>88</v>
      </c>
      <c r="AH16" s="461"/>
      <c r="AI16" s="460" t="s">
        <v>345</v>
      </c>
      <c r="AJ16" s="461"/>
      <c r="AK16" s="460" t="s">
        <v>346</v>
      </c>
      <c r="AL16" s="461"/>
    </row>
    <row r="17" spans="2:38" ht="15" customHeight="1">
      <c r="B17" s="325" t="s">
        <v>364</v>
      </c>
      <c r="C17" s="321">
        <v>4.3899999999999997</v>
      </c>
      <c r="D17" s="76">
        <f>Table1[[#This Row],[2023 TP Permit limit (mg/l)]]</f>
        <v>4.3899999999999997</v>
      </c>
      <c r="E17" s="322">
        <v>4.3899999999999997</v>
      </c>
      <c r="F17" s="76">
        <f>Table1[[#This Row],[Post 2025 TP Permit limit (mg/l)]]</f>
        <v>4.3899999999999997</v>
      </c>
      <c r="G17" s="288">
        <v>0.25</v>
      </c>
      <c r="H17" s="98">
        <f>Table1[[#This Row],[Post 2030 TP Permit Limit (mg/l)]]*0.9</f>
        <v>0.22500000000000001</v>
      </c>
      <c r="I17" s="38"/>
      <c r="J17" s="38"/>
      <c r="K17" s="38"/>
      <c r="L17" s="82"/>
      <c r="M17" s="38"/>
      <c r="N17" s="114" t="s">
        <v>49</v>
      </c>
      <c r="O17" s="268">
        <v>0.19</v>
      </c>
      <c r="P17" s="259">
        <v>0.14000000000000001</v>
      </c>
      <c r="Q17" s="268">
        <v>0.19</v>
      </c>
      <c r="R17" s="259">
        <v>0.23</v>
      </c>
      <c r="S17" s="268">
        <v>0.19</v>
      </c>
      <c r="T17" s="259">
        <v>0.19</v>
      </c>
      <c r="U17" s="268">
        <v>0.22</v>
      </c>
      <c r="V17" s="259">
        <v>0.22</v>
      </c>
      <c r="W17" s="268">
        <v>0.39</v>
      </c>
      <c r="X17" s="259">
        <v>0.4</v>
      </c>
      <c r="Y17" s="268">
        <v>1.24</v>
      </c>
      <c r="Z17" s="259">
        <v>1.28</v>
      </c>
      <c r="AA17" s="268">
        <v>0.31</v>
      </c>
      <c r="AB17" s="259">
        <v>0.32</v>
      </c>
      <c r="AC17" s="268">
        <v>0.65</v>
      </c>
      <c r="AD17" s="259">
        <v>0.66</v>
      </c>
      <c r="AE17" s="268">
        <v>1.94</v>
      </c>
      <c r="AF17" s="259">
        <v>1.98</v>
      </c>
      <c r="AG17" s="111">
        <v>0.67</v>
      </c>
      <c r="AH17" s="108">
        <v>0.67</v>
      </c>
      <c r="AI17" s="111">
        <v>0.67</v>
      </c>
      <c r="AJ17" s="108">
        <v>0.67</v>
      </c>
      <c r="AK17" s="111">
        <v>0.67</v>
      </c>
      <c r="AL17" s="108">
        <v>0.67</v>
      </c>
    </row>
    <row r="18" spans="2:38" ht="15" customHeight="1">
      <c r="B18" s="81" t="s">
        <v>365</v>
      </c>
      <c r="C18" s="321">
        <v>4.32</v>
      </c>
      <c r="D18" s="76">
        <f>Table1[[#This Row],[2023 TP Permit limit (mg/l)]]</f>
        <v>4.32</v>
      </c>
      <c r="E18" s="288">
        <v>0.5</v>
      </c>
      <c r="F18" s="76">
        <f>Table1[[#This Row],[Post 2025 TP Permit limit (mg/l)]]*0.9</f>
        <v>0.45</v>
      </c>
      <c r="G18" s="288">
        <v>0.25</v>
      </c>
      <c r="H18" s="98">
        <f>Table1[[#This Row],[Post 2030 TP Permit Limit (mg/l)]]*0.9</f>
        <v>0.22500000000000001</v>
      </c>
      <c r="I18" s="38"/>
      <c r="J18" s="38"/>
      <c r="K18" s="85" t="s">
        <v>366</v>
      </c>
      <c r="L18" s="86" t="s">
        <v>367</v>
      </c>
      <c r="M18" s="38"/>
      <c r="N18" s="114" t="s">
        <v>59</v>
      </c>
      <c r="O18" s="268">
        <v>0.08</v>
      </c>
      <c r="P18" s="259">
        <v>0.08</v>
      </c>
      <c r="Q18" s="268">
        <v>0.22</v>
      </c>
      <c r="R18" s="259">
        <v>0.12</v>
      </c>
      <c r="S18" s="268">
        <v>0.22</v>
      </c>
      <c r="T18" s="259">
        <v>0.46</v>
      </c>
      <c r="U18" s="268">
        <v>0.13</v>
      </c>
      <c r="V18" s="259">
        <v>0.13</v>
      </c>
      <c r="W18" s="268">
        <v>0.21</v>
      </c>
      <c r="X18" s="259">
        <v>0.21</v>
      </c>
      <c r="Y18" s="268">
        <v>0.73</v>
      </c>
      <c r="Z18" s="259">
        <v>0.73</v>
      </c>
      <c r="AA18" s="268">
        <v>0.2</v>
      </c>
      <c r="AB18" s="259">
        <v>0.2</v>
      </c>
      <c r="AC18" s="268">
        <v>0.36</v>
      </c>
      <c r="AD18" s="259">
        <v>0.36</v>
      </c>
      <c r="AE18" s="268">
        <v>1.22</v>
      </c>
      <c r="AF18" s="259">
        <v>1.22</v>
      </c>
      <c r="AG18" s="111">
        <v>1.29</v>
      </c>
      <c r="AH18" s="108">
        <v>0.27</v>
      </c>
      <c r="AI18" s="111">
        <v>1.29</v>
      </c>
      <c r="AJ18" s="108">
        <v>0.5</v>
      </c>
      <c r="AK18" s="111">
        <v>1.29</v>
      </c>
      <c r="AL18" s="108">
        <v>1.29</v>
      </c>
    </row>
    <row r="19" spans="2:38" ht="15" customHeight="1">
      <c r="B19" s="80" t="s">
        <v>368</v>
      </c>
      <c r="C19" s="315">
        <v>5</v>
      </c>
      <c r="D19" s="76">
        <f>Table1[[#This Row],[2023 TP Permit limit (mg/l)]]</f>
        <v>5</v>
      </c>
      <c r="E19" s="316">
        <v>5</v>
      </c>
      <c r="F19" s="76">
        <f>Table1[[#This Row],[Post 2025 TP Permit limit (mg/l)]]</f>
        <v>5</v>
      </c>
      <c r="G19" s="316">
        <f>Table1[[#This Row],[Post 2025 TP Permit limit (mg/l)]]</f>
        <v>5</v>
      </c>
      <c r="H19" s="98">
        <f>Table1[[#This Row],[Post 2030 TP Permit Limit (mg/l)]]</f>
        <v>5</v>
      </c>
      <c r="I19" s="38"/>
      <c r="J19" s="38"/>
      <c r="K19" s="87" t="s">
        <v>369</v>
      </c>
      <c r="L19" s="83" t="s">
        <v>370</v>
      </c>
      <c r="M19" s="38"/>
      <c r="N19" s="114" t="s">
        <v>350</v>
      </c>
      <c r="O19" s="268">
        <v>0.15</v>
      </c>
      <c r="P19" s="259">
        <v>0.08</v>
      </c>
      <c r="Q19" s="268">
        <v>0.15</v>
      </c>
      <c r="R19" s="259">
        <v>0.22</v>
      </c>
      <c r="S19" s="268">
        <v>0.15</v>
      </c>
      <c r="T19" s="259">
        <v>0.15</v>
      </c>
      <c r="U19" s="268">
        <v>0.16</v>
      </c>
      <c r="V19" s="259">
        <v>0.16</v>
      </c>
      <c r="W19" s="268">
        <v>0.46</v>
      </c>
      <c r="X19" s="259">
        <v>0.46</v>
      </c>
      <c r="Y19" s="268">
        <v>0.91</v>
      </c>
      <c r="Z19" s="259">
        <v>0.91</v>
      </c>
      <c r="AA19" s="268">
        <v>0.27</v>
      </c>
      <c r="AB19" s="259">
        <v>0.27</v>
      </c>
      <c r="AC19" s="268">
        <v>0.85</v>
      </c>
      <c r="AD19" s="259">
        <v>0.85</v>
      </c>
      <c r="AE19" s="268">
        <v>1.5</v>
      </c>
      <c r="AF19" s="259">
        <v>1.5</v>
      </c>
      <c r="AG19" s="111">
        <v>0.91</v>
      </c>
      <c r="AH19" s="108">
        <v>0.37</v>
      </c>
      <c r="AI19" s="111">
        <v>0.91</v>
      </c>
      <c r="AJ19" s="108">
        <v>1.26</v>
      </c>
      <c r="AK19" s="111">
        <v>0.91</v>
      </c>
      <c r="AL19" s="108">
        <v>0.91</v>
      </c>
    </row>
    <row r="20" spans="2:38" ht="15" customHeight="1">
      <c r="B20" s="80" t="s">
        <v>371</v>
      </c>
      <c r="C20" s="321">
        <v>2.66</v>
      </c>
      <c r="D20" s="76">
        <f>Table1[[#This Row],[2023 TP Permit limit (mg/l)]]</f>
        <v>2.66</v>
      </c>
      <c r="E20" s="288">
        <v>0.5</v>
      </c>
      <c r="F20" s="76">
        <f>Table1[[#This Row],[Post 2025 TP Permit limit (mg/l)]]*0.9</f>
        <v>0.45</v>
      </c>
      <c r="G20" s="288">
        <v>0.25</v>
      </c>
      <c r="H20" s="98">
        <f>Table1[[#This Row],[Post 2030 TP Permit Limit (mg/l)]]*0.9</f>
        <v>0.22500000000000001</v>
      </c>
      <c r="I20" s="38"/>
      <c r="J20" s="38"/>
      <c r="K20" s="87" t="s">
        <v>372</v>
      </c>
      <c r="L20" s="83" t="s">
        <v>373</v>
      </c>
      <c r="M20" s="38"/>
      <c r="N20" s="114" t="s">
        <v>227</v>
      </c>
      <c r="O20" s="268">
        <v>0.22</v>
      </c>
      <c r="P20" s="259">
        <v>0.14000000000000001</v>
      </c>
      <c r="Q20" s="268">
        <v>0.22</v>
      </c>
      <c r="R20" s="259">
        <v>0.3</v>
      </c>
      <c r="S20" s="268">
        <v>0.22</v>
      </c>
      <c r="T20" s="259">
        <v>0.22</v>
      </c>
      <c r="U20" s="268">
        <v>0.28000000000000003</v>
      </c>
      <c r="V20" s="259">
        <v>0.28999999999999998</v>
      </c>
      <c r="W20" s="268">
        <v>0.56000000000000005</v>
      </c>
      <c r="X20" s="259">
        <v>0.59</v>
      </c>
      <c r="Y20" s="268">
        <v>1.04</v>
      </c>
      <c r="Z20" s="259">
        <v>1.0900000000000001</v>
      </c>
      <c r="AA20" s="268">
        <v>0.43</v>
      </c>
      <c r="AB20" s="259">
        <v>0.44</v>
      </c>
      <c r="AC20" s="268">
        <v>0.93</v>
      </c>
      <c r="AD20" s="259">
        <v>0.98</v>
      </c>
      <c r="AE20" s="268">
        <v>1.66</v>
      </c>
      <c r="AF20" s="259">
        <v>1.73</v>
      </c>
      <c r="AG20" s="111">
        <v>0.48</v>
      </c>
      <c r="AH20" s="108">
        <v>0.55000000000000004</v>
      </c>
      <c r="AI20" s="111">
        <v>0.48</v>
      </c>
      <c r="AJ20" s="108">
        <v>0.48</v>
      </c>
      <c r="AK20" s="111">
        <v>0.48</v>
      </c>
      <c r="AL20" s="108">
        <v>0.48</v>
      </c>
    </row>
    <row r="21" spans="2:38" ht="15" customHeight="1">
      <c r="B21" s="80" t="s">
        <v>374</v>
      </c>
      <c r="C21" s="321">
        <v>8.6</v>
      </c>
      <c r="D21" s="76">
        <f>Table1[[#This Row],[2023 TP Permit limit (mg/l)]]</f>
        <v>8.6</v>
      </c>
      <c r="E21" s="288">
        <v>1.5</v>
      </c>
      <c r="F21" s="76">
        <f>Table1[[#This Row],[Post 2025 TP Permit limit (mg/l)]]*0.9</f>
        <v>1.35</v>
      </c>
      <c r="G21" s="288">
        <v>1.5</v>
      </c>
      <c r="H21" s="98">
        <f>Table1[[#This Row],[Post 2030 TP Permit Limit (mg/l)]]*0.9</f>
        <v>1.35</v>
      </c>
      <c r="I21" s="38"/>
      <c r="J21" s="38"/>
      <c r="K21" s="87" t="s">
        <v>375</v>
      </c>
      <c r="L21" s="83" t="s">
        <v>370</v>
      </c>
      <c r="M21" s="38"/>
      <c r="N21" s="114" t="s">
        <v>354</v>
      </c>
      <c r="O21" s="268">
        <v>0.16</v>
      </c>
      <c r="P21" s="259">
        <v>7.0000000000000007E-2</v>
      </c>
      <c r="Q21" s="268">
        <v>0.16</v>
      </c>
      <c r="R21" s="259">
        <v>0.26</v>
      </c>
      <c r="S21" s="268">
        <v>0.16</v>
      </c>
      <c r="T21" s="259">
        <v>0.16</v>
      </c>
      <c r="U21" s="268">
        <v>0.18</v>
      </c>
      <c r="V21" s="259">
        <v>0.17</v>
      </c>
      <c r="W21" s="268">
        <v>0.52</v>
      </c>
      <c r="X21" s="259">
        <v>0.53</v>
      </c>
      <c r="Y21" s="268">
        <v>0.96</v>
      </c>
      <c r="Z21" s="259">
        <v>0.98</v>
      </c>
      <c r="AA21" s="268">
        <v>0.28999999999999998</v>
      </c>
      <c r="AB21" s="259">
        <v>0.3</v>
      </c>
      <c r="AC21" s="268">
        <v>0.95</v>
      </c>
      <c r="AD21" s="259">
        <v>0.97</v>
      </c>
      <c r="AE21" s="268">
        <v>0.97</v>
      </c>
      <c r="AF21" s="259">
        <v>1.65</v>
      </c>
      <c r="AG21" s="111">
        <v>0.39</v>
      </c>
      <c r="AH21" s="108">
        <v>0.41</v>
      </c>
      <c r="AI21" s="111">
        <v>0.39</v>
      </c>
      <c r="AJ21" s="108">
        <v>0.39</v>
      </c>
      <c r="AK21" s="111">
        <v>0.39</v>
      </c>
      <c r="AL21" s="108">
        <v>0.39</v>
      </c>
    </row>
    <row r="22" spans="2:38" ht="15" customHeight="1">
      <c r="B22" s="81" t="s">
        <v>376</v>
      </c>
      <c r="C22" s="321">
        <v>5.38</v>
      </c>
      <c r="D22" s="76">
        <f>Table1[[#This Row],[2023 TP Permit limit (mg/l)]]</f>
        <v>5.38</v>
      </c>
      <c r="E22" s="322">
        <v>5.38</v>
      </c>
      <c r="F22" s="76">
        <f>Table1[[#This Row],[Post 2025 TP Permit limit (mg/l)]]</f>
        <v>5.38</v>
      </c>
      <c r="G22" s="288">
        <v>0.25</v>
      </c>
      <c r="H22" s="98">
        <f>Table1[[#This Row],[Post 2030 TP Permit Limit (mg/l)]]*0.9</f>
        <v>0.22500000000000001</v>
      </c>
      <c r="I22" s="38"/>
      <c r="J22" s="38"/>
      <c r="K22" s="89" t="s">
        <v>188</v>
      </c>
      <c r="L22" s="83" t="s">
        <v>377</v>
      </c>
      <c r="M22" s="38"/>
      <c r="N22" s="114" t="s">
        <v>53</v>
      </c>
      <c r="O22" s="268">
        <v>0.04</v>
      </c>
      <c r="P22" s="259">
        <v>0.04</v>
      </c>
      <c r="Q22" s="268">
        <v>0.04</v>
      </c>
      <c r="R22" s="259">
        <v>0.04</v>
      </c>
      <c r="S22" s="268">
        <v>0.04</v>
      </c>
      <c r="T22" s="259">
        <v>0.04</v>
      </c>
      <c r="U22" s="268">
        <v>0.1</v>
      </c>
      <c r="V22" s="259">
        <v>0.1</v>
      </c>
      <c r="W22" s="268">
        <v>0.38</v>
      </c>
      <c r="X22" s="259">
        <v>0.38</v>
      </c>
      <c r="Y22" s="268">
        <v>0.57999999999999996</v>
      </c>
      <c r="Z22" s="259">
        <v>0.57999999999999996</v>
      </c>
      <c r="AA22" s="268">
        <v>0.18</v>
      </c>
      <c r="AB22" s="259">
        <v>0.18</v>
      </c>
      <c r="AC22" s="268">
        <v>0.71</v>
      </c>
      <c r="AD22" s="259">
        <v>0.71</v>
      </c>
      <c r="AE22" s="268">
        <v>0.8</v>
      </c>
      <c r="AF22" s="259">
        <v>0.96</v>
      </c>
      <c r="AG22" s="111">
        <v>0.75</v>
      </c>
      <c r="AH22" s="108">
        <v>0.28000000000000003</v>
      </c>
      <c r="AI22" s="111">
        <v>0.75</v>
      </c>
      <c r="AJ22" s="108">
        <v>1.1599999999999999</v>
      </c>
      <c r="AK22" s="111">
        <v>0.75</v>
      </c>
      <c r="AL22" s="108">
        <v>0.75</v>
      </c>
    </row>
    <row r="23" spans="2:38" ht="15" customHeight="1">
      <c r="B23" s="261" t="s">
        <v>378</v>
      </c>
      <c r="C23" s="315">
        <v>5</v>
      </c>
      <c r="D23" s="76">
        <f>Table1[[#This Row],[2023 TP Permit limit (mg/l)]]*1</f>
        <v>5</v>
      </c>
      <c r="E23" s="316">
        <v>5</v>
      </c>
      <c r="F23" s="76">
        <f>Table1[[#This Row],[Post 2025 TP Permit limit (mg/l)]]</f>
        <v>5</v>
      </c>
      <c r="G23" s="316">
        <v>5</v>
      </c>
      <c r="H23" s="99">
        <f>Table1[[#This Row],[Post 2030 TP Permit Limit (mg/l)]]</f>
        <v>5</v>
      </c>
      <c r="I23" s="38"/>
      <c r="J23" s="38"/>
      <c r="K23" s="87"/>
      <c r="L23" s="83"/>
      <c r="M23" s="38"/>
      <c r="N23" s="114" t="s">
        <v>51</v>
      </c>
      <c r="O23" s="268">
        <v>0.18</v>
      </c>
      <c r="P23" s="259">
        <v>0.06</v>
      </c>
      <c r="Q23" s="268">
        <v>0.18</v>
      </c>
      <c r="R23" s="259">
        <v>0.3</v>
      </c>
      <c r="S23" s="268">
        <v>0.18</v>
      </c>
      <c r="T23" s="259">
        <v>0.18</v>
      </c>
      <c r="U23" s="268">
        <v>0.16</v>
      </c>
      <c r="V23" s="259">
        <v>0.16</v>
      </c>
      <c r="W23" s="268">
        <v>0.65</v>
      </c>
      <c r="X23" s="259">
        <v>0.65</v>
      </c>
      <c r="Y23" s="268">
        <v>0.92</v>
      </c>
      <c r="Z23" s="259">
        <v>0.92</v>
      </c>
      <c r="AA23" s="268">
        <v>0.28999999999999998</v>
      </c>
      <c r="AB23" s="259">
        <v>0.28999999999999998</v>
      </c>
      <c r="AC23" s="268">
        <v>1.23</v>
      </c>
      <c r="AD23" s="259">
        <v>1.23</v>
      </c>
      <c r="AE23" s="268">
        <v>1.51</v>
      </c>
      <c r="AF23" s="259">
        <v>1.51</v>
      </c>
      <c r="AG23" s="111">
        <v>0.72</v>
      </c>
      <c r="AH23" s="108">
        <v>0.41</v>
      </c>
      <c r="AI23" s="111">
        <v>0.72</v>
      </c>
      <c r="AJ23" s="108">
        <v>1.95</v>
      </c>
      <c r="AK23" s="111">
        <v>0.72</v>
      </c>
      <c r="AL23" s="108">
        <v>0.72</v>
      </c>
    </row>
    <row r="24" spans="2:38" ht="15" customHeight="1">
      <c r="B24" s="261" t="s">
        <v>379</v>
      </c>
      <c r="C24" s="315">
        <v>5</v>
      </c>
      <c r="D24" s="76">
        <f>Table1[[#This Row],[2023 TP Permit limit (mg/l)]]*1</f>
        <v>5</v>
      </c>
      <c r="E24" s="316">
        <v>5</v>
      </c>
      <c r="F24" s="76">
        <f>Table1[[#This Row],[Post 2025 TP Permit limit (mg/l)]]</f>
        <v>5</v>
      </c>
      <c r="G24" s="316">
        <v>5</v>
      </c>
      <c r="H24" s="99">
        <f>Table1[[#This Row],[Post 2030 TP Permit Limit (mg/l)]]</f>
        <v>5</v>
      </c>
      <c r="I24" s="38"/>
      <c r="J24" s="38"/>
      <c r="K24" s="38"/>
      <c r="L24" s="82"/>
      <c r="M24" s="38"/>
      <c r="N24" s="114" t="s">
        <v>65</v>
      </c>
      <c r="O24" s="268">
        <v>0.21</v>
      </c>
      <c r="P24" s="259">
        <v>0.05</v>
      </c>
      <c r="Q24" s="268">
        <v>0.2</v>
      </c>
      <c r="R24" s="259">
        <v>0.2</v>
      </c>
      <c r="S24" s="268">
        <v>0.21</v>
      </c>
      <c r="T24" s="259">
        <v>0.39</v>
      </c>
      <c r="U24" s="268">
        <v>0.12</v>
      </c>
      <c r="V24" s="259">
        <v>0.12</v>
      </c>
      <c r="W24" s="268">
        <v>0.42</v>
      </c>
      <c r="X24" s="259">
        <v>0.42</v>
      </c>
      <c r="Y24" s="268">
        <v>0.69</v>
      </c>
      <c r="Z24" s="259">
        <v>0.69</v>
      </c>
      <c r="AA24" s="268">
        <v>0.22</v>
      </c>
      <c r="AB24" s="259">
        <v>0.22</v>
      </c>
      <c r="AC24" s="268">
        <v>0.8</v>
      </c>
      <c r="AD24" s="259">
        <v>0.8</v>
      </c>
      <c r="AE24" s="268">
        <v>1.17</v>
      </c>
      <c r="AF24" s="259">
        <v>1.17</v>
      </c>
      <c r="AG24" s="111">
        <v>0.57999999999999996</v>
      </c>
      <c r="AH24" s="108">
        <v>0.32</v>
      </c>
      <c r="AI24" s="111">
        <v>0.57999999999999996</v>
      </c>
      <c r="AJ24" s="108">
        <v>0.57999999999999996</v>
      </c>
      <c r="AK24" s="111">
        <v>0.57999999999999996</v>
      </c>
      <c r="AL24" s="108">
        <v>0.57999999999999996</v>
      </c>
    </row>
    <row r="25" spans="2:38" ht="15" customHeight="1">
      <c r="B25" s="81" t="s">
        <v>380</v>
      </c>
      <c r="C25" s="315">
        <v>5</v>
      </c>
      <c r="D25" s="76">
        <f>Table1[[#This Row],[2023 TP Permit limit (mg/l)]]</f>
        <v>5</v>
      </c>
      <c r="E25" s="316">
        <v>5</v>
      </c>
      <c r="F25" s="76">
        <f>Table1[[#This Row],[Post 2025 TP Permit limit (mg/l)]]</f>
        <v>5</v>
      </c>
      <c r="G25" s="316">
        <f>Table1[[#This Row],[Post 2025 TP Permit limit (mg/l)]]</f>
        <v>5</v>
      </c>
      <c r="H25" s="98">
        <f>Table1[[#This Row],[Post 2030 TP Permit Limit (mg/l)]]</f>
        <v>5</v>
      </c>
      <c r="I25" s="38"/>
      <c r="J25" s="38"/>
      <c r="K25" s="38"/>
      <c r="L25" s="82"/>
      <c r="M25" s="38"/>
      <c r="N25" s="114" t="s">
        <v>339</v>
      </c>
      <c r="O25" s="268">
        <v>0.05</v>
      </c>
      <c r="P25" s="259">
        <v>0.05</v>
      </c>
      <c r="Q25" s="268">
        <v>0.05</v>
      </c>
      <c r="R25" s="259">
        <v>0.05</v>
      </c>
      <c r="S25" s="268">
        <v>0.05</v>
      </c>
      <c r="T25" s="259">
        <v>0.05</v>
      </c>
      <c r="U25" s="268">
        <v>0.12</v>
      </c>
      <c r="V25" s="259">
        <v>0.12</v>
      </c>
      <c r="W25" s="268">
        <v>0.12</v>
      </c>
      <c r="X25" s="259">
        <v>0.12</v>
      </c>
      <c r="Y25" s="268">
        <v>0.12</v>
      </c>
      <c r="Z25" s="259">
        <v>0.12</v>
      </c>
      <c r="AA25" s="268">
        <v>0.22</v>
      </c>
      <c r="AB25" s="259">
        <v>0.22</v>
      </c>
      <c r="AC25" s="268">
        <v>0.22</v>
      </c>
      <c r="AD25" s="259">
        <v>0.22</v>
      </c>
      <c r="AE25" s="268">
        <v>0.22</v>
      </c>
      <c r="AF25" s="259">
        <v>0.22</v>
      </c>
      <c r="AG25" s="107">
        <v>0.57999999999999996</v>
      </c>
      <c r="AH25" s="260">
        <v>0.57999999999999996</v>
      </c>
      <c r="AI25" s="107">
        <v>0.57999999999999996</v>
      </c>
      <c r="AJ25" s="260">
        <v>0.57999999999999996</v>
      </c>
      <c r="AK25" s="107">
        <v>0.57999999999999996</v>
      </c>
      <c r="AL25" s="260">
        <v>0.57999999999999996</v>
      </c>
    </row>
    <row r="26" spans="2:38" ht="15" customHeight="1" thickBot="1">
      <c r="B26" s="80" t="s">
        <v>381</v>
      </c>
      <c r="C26" s="315">
        <v>5</v>
      </c>
      <c r="D26" s="76">
        <f>Table1[[#This Row],[2023 TP Permit limit (mg/l)]]</f>
        <v>5</v>
      </c>
      <c r="E26" s="316">
        <v>5</v>
      </c>
      <c r="F26" s="76">
        <f>Table1[[#This Row],[Post 2025 TP Permit limit (mg/l)]]</f>
        <v>5</v>
      </c>
      <c r="G26" s="316">
        <f>Table1[[#This Row],[Post 2025 TP Permit limit (mg/l)]]</f>
        <v>5</v>
      </c>
      <c r="H26" s="98">
        <f>Table1[[#This Row],[Post 2030 TP Permit Limit (mg/l)]]</f>
        <v>5</v>
      </c>
      <c r="I26" s="38"/>
      <c r="J26" s="38"/>
      <c r="K26" s="38"/>
      <c r="L26" s="82"/>
      <c r="M26" s="38"/>
      <c r="N26" s="280" t="s">
        <v>57</v>
      </c>
      <c r="O26" s="273">
        <v>0.06</v>
      </c>
      <c r="P26" s="274">
        <v>0.06</v>
      </c>
      <c r="Q26" s="273">
        <v>0.06</v>
      </c>
      <c r="R26" s="274">
        <v>0.06</v>
      </c>
      <c r="S26" s="273">
        <v>0.06</v>
      </c>
      <c r="T26" s="274">
        <v>0.06</v>
      </c>
      <c r="U26" s="273">
        <v>0.1</v>
      </c>
      <c r="V26" s="274">
        <v>0.1</v>
      </c>
      <c r="W26" s="273">
        <v>0.11</v>
      </c>
      <c r="X26" s="274">
        <v>0.11</v>
      </c>
      <c r="Y26" s="273">
        <v>0.24</v>
      </c>
      <c r="Z26" s="274">
        <v>0.52</v>
      </c>
      <c r="AA26" s="273">
        <v>0.16</v>
      </c>
      <c r="AB26" s="274">
        <v>0.16</v>
      </c>
      <c r="AC26" s="273">
        <v>0.18</v>
      </c>
      <c r="AD26" s="274">
        <v>0.18</v>
      </c>
      <c r="AE26" s="273">
        <v>0.45</v>
      </c>
      <c r="AF26" s="274">
        <v>0.87</v>
      </c>
      <c r="AG26" s="273">
        <v>0.26</v>
      </c>
      <c r="AH26" s="274">
        <v>0.22</v>
      </c>
      <c r="AI26" s="273">
        <v>0.26</v>
      </c>
      <c r="AJ26" s="274">
        <v>0.28000000000000003</v>
      </c>
      <c r="AK26" s="273">
        <v>0.26</v>
      </c>
      <c r="AL26" s="274">
        <v>0.26</v>
      </c>
    </row>
    <row r="27" spans="2:38" ht="12.75" customHeight="1" thickBot="1">
      <c r="B27" s="262" t="s">
        <v>382</v>
      </c>
      <c r="C27" s="321">
        <v>4.04</v>
      </c>
      <c r="D27" s="76">
        <f>Table1[[#This Row],[2023 TP Permit limit (mg/l)]]</f>
        <v>4.04</v>
      </c>
      <c r="E27" s="322">
        <v>4.04</v>
      </c>
      <c r="F27" s="76">
        <f>Table1[[#This Row],[Post 2025 TP Permit limit (mg/l)]]</f>
        <v>4.04</v>
      </c>
      <c r="G27" s="288">
        <v>1.5</v>
      </c>
      <c r="H27" s="98">
        <f>Table1[[#This Row],[Post 2030 TP Permit Limit (mg/l)]]*0.9</f>
        <v>1.35</v>
      </c>
      <c r="I27" s="38"/>
      <c r="J27" s="38"/>
      <c r="K27" s="38"/>
      <c r="L27" s="38"/>
      <c r="M27" s="38"/>
      <c r="N27" s="264" t="s">
        <v>383</v>
      </c>
      <c r="O27" s="466" t="s">
        <v>362</v>
      </c>
      <c r="P27" s="467"/>
      <c r="Q27" s="467"/>
      <c r="R27" s="467"/>
      <c r="S27" s="467"/>
      <c r="T27" s="468"/>
      <c r="U27" s="466" t="s">
        <v>340</v>
      </c>
      <c r="V27" s="467"/>
      <c r="W27" s="467"/>
      <c r="X27" s="467"/>
      <c r="Y27" s="467"/>
      <c r="Z27" s="468"/>
      <c r="AA27" s="469" t="s">
        <v>341</v>
      </c>
      <c r="AB27" s="467"/>
      <c r="AC27" s="467"/>
      <c r="AD27" s="467"/>
      <c r="AE27" s="467"/>
      <c r="AF27" s="470"/>
      <c r="AG27" s="466" t="s">
        <v>341</v>
      </c>
      <c r="AH27" s="467"/>
      <c r="AI27" s="467"/>
      <c r="AJ27" s="467"/>
      <c r="AK27" s="467"/>
      <c r="AL27" s="468"/>
    </row>
    <row r="28" spans="2:38" ht="15" customHeight="1">
      <c r="B28" s="81" t="s">
        <v>384</v>
      </c>
      <c r="C28" s="315">
        <v>5</v>
      </c>
      <c r="D28" s="76">
        <f>Table1[[#This Row],[2023 TP Permit limit (mg/l)]]</f>
        <v>5</v>
      </c>
      <c r="E28" s="316">
        <v>5</v>
      </c>
      <c r="F28" s="76">
        <f>Table1[[#This Row],[Post 2025 TP Permit limit (mg/l)]]</f>
        <v>5</v>
      </c>
      <c r="G28" s="316">
        <f>Table1[[#This Row],[Post 2025 TP Permit limit (mg/l)]]</f>
        <v>5</v>
      </c>
      <c r="H28" s="98">
        <f>Table1[[#This Row],[Post 2030 TP Permit Limit (mg/l)]]</f>
        <v>5</v>
      </c>
      <c r="I28" s="38"/>
      <c r="J28" s="38"/>
      <c r="K28" s="38"/>
      <c r="L28" s="38"/>
      <c r="M28" s="38"/>
      <c r="N28" s="265" t="s">
        <v>37</v>
      </c>
      <c r="O28" s="464" t="s">
        <v>88</v>
      </c>
      <c r="P28" s="465"/>
      <c r="Q28" s="460" t="s">
        <v>345</v>
      </c>
      <c r="R28" s="461"/>
      <c r="S28" s="460" t="s">
        <v>346</v>
      </c>
      <c r="T28" s="461"/>
      <c r="U28" s="460" t="s">
        <v>88</v>
      </c>
      <c r="V28" s="461"/>
      <c r="W28" s="460" t="s">
        <v>345</v>
      </c>
      <c r="X28" s="461"/>
      <c r="Y28" s="460" t="s">
        <v>346</v>
      </c>
      <c r="Z28" s="461"/>
      <c r="AA28" s="462" t="s">
        <v>88</v>
      </c>
      <c r="AB28" s="461"/>
      <c r="AC28" s="460" t="s">
        <v>345</v>
      </c>
      <c r="AD28" s="461"/>
      <c r="AE28" s="460" t="s">
        <v>346</v>
      </c>
      <c r="AF28" s="463"/>
      <c r="AG28" s="460" t="s">
        <v>88</v>
      </c>
      <c r="AH28" s="461"/>
      <c r="AI28" s="460" t="s">
        <v>345</v>
      </c>
      <c r="AJ28" s="461"/>
      <c r="AK28" s="460" t="s">
        <v>346</v>
      </c>
      <c r="AL28" s="461"/>
    </row>
    <row r="29" spans="2:38" ht="12.95">
      <c r="B29" s="81" t="s">
        <v>385</v>
      </c>
      <c r="C29" s="321">
        <v>4.24</v>
      </c>
      <c r="D29" s="76">
        <f>Table1[[#This Row],[2023 TP Permit limit (mg/l)]]</f>
        <v>4.24</v>
      </c>
      <c r="E29" s="322">
        <v>4.24</v>
      </c>
      <c r="F29" s="76">
        <f>Table1[[#This Row],[Post 2025 TP Permit limit (mg/l)]]</f>
        <v>4.24</v>
      </c>
      <c r="G29" s="322">
        <f>Table1[[#This Row],[Post 2025 TP Permit limit (mg/l)]]</f>
        <v>4.24</v>
      </c>
      <c r="H29" s="98">
        <f>Table1[[#This Row],[Post 2030 TP Permit Limit (mg/l)]]</f>
        <v>4.24</v>
      </c>
      <c r="I29" s="38"/>
      <c r="J29" s="38"/>
      <c r="K29" s="38"/>
      <c r="L29" s="38"/>
      <c r="M29" s="38"/>
      <c r="N29" s="266" t="s">
        <v>49</v>
      </c>
      <c r="O29" s="268">
        <v>0.19</v>
      </c>
      <c r="P29" s="259">
        <v>0.14000000000000001</v>
      </c>
      <c r="Q29" s="268">
        <v>0.19</v>
      </c>
      <c r="R29" s="259">
        <v>0.22</v>
      </c>
      <c r="S29" s="268">
        <v>0.19</v>
      </c>
      <c r="T29" s="259">
        <v>0.19</v>
      </c>
      <c r="U29" s="268">
        <v>0.23</v>
      </c>
      <c r="V29" s="259">
        <v>0.23</v>
      </c>
      <c r="W29" s="268">
        <v>0.33</v>
      </c>
      <c r="X29" s="259">
        <v>0.34</v>
      </c>
      <c r="Y29" s="268">
        <v>1.19</v>
      </c>
      <c r="Z29" s="259">
        <v>1.23</v>
      </c>
      <c r="AA29" s="263">
        <v>0.32</v>
      </c>
      <c r="AB29" s="259">
        <v>0.32</v>
      </c>
      <c r="AC29" s="268">
        <v>0.52</v>
      </c>
      <c r="AD29" s="259">
        <v>0.53</v>
      </c>
      <c r="AE29" s="268">
        <v>1.89</v>
      </c>
      <c r="AF29" s="269">
        <v>1.9</v>
      </c>
      <c r="AG29" s="111">
        <v>0.67</v>
      </c>
      <c r="AH29" s="108">
        <v>0.67</v>
      </c>
      <c r="AI29" s="111">
        <v>0.67</v>
      </c>
      <c r="AJ29" s="108">
        <v>0.67</v>
      </c>
      <c r="AK29" s="111">
        <v>0.67</v>
      </c>
      <c r="AL29" s="108">
        <v>0.67</v>
      </c>
    </row>
    <row r="30" spans="2:38" ht="12.95">
      <c r="B30" s="81" t="s">
        <v>386</v>
      </c>
      <c r="C30" s="315">
        <v>5</v>
      </c>
      <c r="D30" s="76">
        <f>Table1[[#This Row],[2023 TP Permit limit (mg/l)]]</f>
        <v>5</v>
      </c>
      <c r="E30" s="316">
        <v>5</v>
      </c>
      <c r="F30" s="76">
        <f>Table1[[#This Row],[Post 2025 TP Permit limit (mg/l)]]</f>
        <v>5</v>
      </c>
      <c r="G30" s="316">
        <f>Table1[[#This Row],[Post 2025 TP Permit limit (mg/l)]]</f>
        <v>5</v>
      </c>
      <c r="H30" s="98">
        <f>Table1[[#This Row],[Post 2030 TP Permit Limit (mg/l)]]</f>
        <v>5</v>
      </c>
      <c r="I30" s="38"/>
      <c r="J30" s="38"/>
      <c r="K30" s="38"/>
      <c r="L30" s="38"/>
      <c r="M30" s="38"/>
      <c r="N30" s="266" t="s">
        <v>59</v>
      </c>
      <c r="O30" s="268">
        <v>7.0000000000000007E-2</v>
      </c>
      <c r="P30" s="259">
        <v>7.0000000000000007E-2</v>
      </c>
      <c r="Q30" s="268">
        <v>0.22</v>
      </c>
      <c r="R30" s="259">
        <v>0.11</v>
      </c>
      <c r="S30" s="268">
        <v>0.22</v>
      </c>
      <c r="T30" s="259">
        <v>0.45</v>
      </c>
      <c r="U30" s="268">
        <v>0.14000000000000001</v>
      </c>
      <c r="V30" s="259">
        <v>0.14000000000000001</v>
      </c>
      <c r="W30" s="268">
        <v>0.21</v>
      </c>
      <c r="X30" s="259">
        <v>0.21</v>
      </c>
      <c r="Y30" s="268">
        <v>0.72</v>
      </c>
      <c r="Z30" s="259">
        <v>0.72</v>
      </c>
      <c r="AA30" s="263">
        <v>0.22</v>
      </c>
      <c r="AB30" s="259">
        <v>0.22</v>
      </c>
      <c r="AC30" s="268">
        <v>0.35</v>
      </c>
      <c r="AD30" s="259">
        <v>0.35</v>
      </c>
      <c r="AE30" s="268">
        <v>1.21</v>
      </c>
      <c r="AF30" s="269">
        <v>1.21</v>
      </c>
      <c r="AG30" s="111">
        <v>1.29</v>
      </c>
      <c r="AH30" s="108">
        <v>0.27</v>
      </c>
      <c r="AI30" s="111">
        <v>1.29</v>
      </c>
      <c r="AJ30" s="108">
        <v>0.5</v>
      </c>
      <c r="AK30" s="111">
        <v>1.29</v>
      </c>
      <c r="AL30" s="108">
        <v>1.29</v>
      </c>
    </row>
    <row r="31" spans="2:38" ht="12.95">
      <c r="B31" s="81" t="s">
        <v>387</v>
      </c>
      <c r="C31" s="321">
        <v>6.19</v>
      </c>
      <c r="D31" s="76">
        <f>Table1[[#This Row],[2023 TP Permit limit (mg/l)]]</f>
        <v>6.19</v>
      </c>
      <c r="E31" s="288">
        <v>1</v>
      </c>
      <c r="F31" s="76">
        <f>Table1[[#This Row],[Post 2025 TP Permit limit (mg/l)]]*0.9</f>
        <v>0.9</v>
      </c>
      <c r="G31" s="288">
        <v>0.25</v>
      </c>
      <c r="H31" s="98">
        <f>Table1[[#This Row],[Post 2030 TP Permit Limit (mg/l)]]*0.9</f>
        <v>0.22500000000000001</v>
      </c>
      <c r="I31" s="38"/>
      <c r="J31" s="38"/>
      <c r="K31" s="38"/>
      <c r="L31" s="38"/>
      <c r="M31" s="38"/>
      <c r="N31" s="266" t="s">
        <v>350</v>
      </c>
      <c r="O31" s="268">
        <v>0.15</v>
      </c>
      <c r="P31" s="259">
        <v>0.08</v>
      </c>
      <c r="Q31" s="268">
        <v>0.15</v>
      </c>
      <c r="R31" s="259">
        <v>0.21</v>
      </c>
      <c r="S31" s="268">
        <v>0.15</v>
      </c>
      <c r="T31" s="259">
        <v>0.15</v>
      </c>
      <c r="U31" s="268">
        <v>0.16</v>
      </c>
      <c r="V31" s="259">
        <v>0.16</v>
      </c>
      <c r="W31" s="268">
        <v>0.35</v>
      </c>
      <c r="X31" s="259">
        <v>0.35</v>
      </c>
      <c r="Y31" s="268">
        <v>0.89</v>
      </c>
      <c r="Z31" s="259">
        <v>0.89</v>
      </c>
      <c r="AA31" s="263">
        <v>0.26</v>
      </c>
      <c r="AB31" s="259">
        <v>0.26</v>
      </c>
      <c r="AC31" s="268">
        <v>0.79</v>
      </c>
      <c r="AD31" s="259">
        <v>0.79</v>
      </c>
      <c r="AE31" s="268">
        <v>1.48</v>
      </c>
      <c r="AF31" s="269">
        <v>1.45</v>
      </c>
      <c r="AG31" s="111">
        <v>0.91</v>
      </c>
      <c r="AH31" s="108">
        <v>0.37</v>
      </c>
      <c r="AI31" s="111">
        <v>0.91</v>
      </c>
      <c r="AJ31" s="108">
        <v>1.26</v>
      </c>
      <c r="AK31" s="111">
        <v>0.91</v>
      </c>
      <c r="AL31" s="108">
        <v>0.91</v>
      </c>
    </row>
    <row r="32" spans="2:38" ht="12.95">
      <c r="B32" s="325" t="s">
        <v>388</v>
      </c>
      <c r="C32" s="321">
        <v>7.25</v>
      </c>
      <c r="D32" s="76">
        <f>Table1[[#This Row],[2023 TP Permit limit (mg/l)]]</f>
        <v>7.25</v>
      </c>
      <c r="E32" s="322">
        <v>7.25</v>
      </c>
      <c r="F32" s="76">
        <f>Table1[[#This Row],[Post 2025 TP Permit limit (mg/l)]]</f>
        <v>7.25</v>
      </c>
      <c r="G32" s="288">
        <v>0.25</v>
      </c>
      <c r="H32" s="98">
        <f>Table1[[#This Row],[Post 2030 TP Permit Limit (mg/l)]]*0.9</f>
        <v>0.22500000000000001</v>
      </c>
      <c r="I32" s="38"/>
      <c r="J32" s="38"/>
      <c r="K32" s="38"/>
      <c r="L32" s="38"/>
      <c r="M32" s="38"/>
      <c r="N32" s="266" t="s">
        <v>227</v>
      </c>
      <c r="O32" s="268">
        <v>0.22</v>
      </c>
      <c r="P32" s="259">
        <v>0.14000000000000001</v>
      </c>
      <c r="Q32" s="268">
        <v>0.22</v>
      </c>
      <c r="R32" s="259">
        <v>0.3</v>
      </c>
      <c r="S32" s="268">
        <v>0.22</v>
      </c>
      <c r="T32" s="259">
        <v>0.22</v>
      </c>
      <c r="U32" s="268">
        <v>0.42</v>
      </c>
      <c r="V32" s="259">
        <v>0.43</v>
      </c>
      <c r="W32" s="268">
        <v>0.54</v>
      </c>
      <c r="X32" s="259">
        <v>0.66</v>
      </c>
      <c r="Y32" s="268">
        <v>1.53</v>
      </c>
      <c r="Z32" s="259">
        <v>1.58</v>
      </c>
      <c r="AA32" s="263">
        <v>0.61</v>
      </c>
      <c r="AB32" s="259">
        <v>0.43</v>
      </c>
      <c r="AC32" s="268">
        <v>0.93</v>
      </c>
      <c r="AD32" s="259">
        <v>1.06</v>
      </c>
      <c r="AE32" s="268">
        <v>2.2999999999999998</v>
      </c>
      <c r="AF32" s="269">
        <v>1.75</v>
      </c>
      <c r="AG32" s="111">
        <v>0.48</v>
      </c>
      <c r="AH32" s="108">
        <v>0.55000000000000004</v>
      </c>
      <c r="AI32" s="111">
        <v>0.48</v>
      </c>
      <c r="AJ32" s="108">
        <v>0.48</v>
      </c>
      <c r="AK32" s="111">
        <v>0.48</v>
      </c>
      <c r="AL32" s="108">
        <v>0.48</v>
      </c>
    </row>
    <row r="33" spans="2:38" ht="12.95">
      <c r="B33" s="325" t="s">
        <v>389</v>
      </c>
      <c r="C33" s="321">
        <v>4.87</v>
      </c>
      <c r="D33" s="76">
        <f>Table1[[#This Row],[2023 TP Permit limit (mg/l)]]</f>
        <v>4.87</v>
      </c>
      <c r="E33" s="322">
        <v>4.87</v>
      </c>
      <c r="F33" s="76">
        <f>Table1[[#This Row],[Post 2025 TP Permit limit (mg/l)]]</f>
        <v>4.87</v>
      </c>
      <c r="G33" s="322">
        <f>Table1[[#This Row],[Post 2025 TP Permit limit (mg/l)]]</f>
        <v>4.87</v>
      </c>
      <c r="H33" s="98">
        <f>Table1[[#This Row],[Post 2030 TP Permit Limit (mg/l)]]</f>
        <v>4.87</v>
      </c>
      <c r="I33" s="38"/>
      <c r="J33" s="38"/>
      <c r="K33" s="38"/>
      <c r="L33" s="38"/>
      <c r="M33" s="38"/>
      <c r="N33" s="266" t="s">
        <v>354</v>
      </c>
      <c r="O33" s="268">
        <v>0.16</v>
      </c>
      <c r="P33" s="259">
        <v>0.08</v>
      </c>
      <c r="Q33" s="268">
        <v>0.16</v>
      </c>
      <c r="R33" s="259">
        <v>0.27</v>
      </c>
      <c r="S33" s="268">
        <v>0.16</v>
      </c>
      <c r="T33" s="259">
        <v>0.16</v>
      </c>
      <c r="U33" s="268">
        <v>0.21</v>
      </c>
      <c r="V33" s="259">
        <v>0.22</v>
      </c>
      <c r="W33" s="268">
        <v>0.51</v>
      </c>
      <c r="X33" s="259">
        <v>0.49</v>
      </c>
      <c r="Y33" s="268">
        <v>1.31</v>
      </c>
      <c r="Z33" s="259">
        <v>1.34</v>
      </c>
      <c r="AA33" s="263">
        <v>0.28999999999999998</v>
      </c>
      <c r="AB33" s="259">
        <v>0.34</v>
      </c>
      <c r="AC33" s="268">
        <v>0.93</v>
      </c>
      <c r="AD33" s="259">
        <v>0.96</v>
      </c>
      <c r="AE33" s="268">
        <v>0.97</v>
      </c>
      <c r="AF33" s="269">
        <v>1.95</v>
      </c>
      <c r="AG33" s="111">
        <v>0.39</v>
      </c>
      <c r="AH33" s="108">
        <v>0.41</v>
      </c>
      <c r="AI33" s="111">
        <v>0.39</v>
      </c>
      <c r="AJ33" s="108">
        <v>0.39</v>
      </c>
      <c r="AK33" s="111">
        <v>0.39</v>
      </c>
      <c r="AL33" s="108">
        <v>0.39</v>
      </c>
    </row>
    <row r="34" spans="2:38" ht="12.95">
      <c r="B34" s="81" t="s">
        <v>390</v>
      </c>
      <c r="C34" s="315">
        <v>5</v>
      </c>
      <c r="D34" s="76">
        <f>Table1[[#This Row],[2023 TP Permit limit (mg/l)]]</f>
        <v>5</v>
      </c>
      <c r="E34" s="316">
        <v>5</v>
      </c>
      <c r="F34" s="76">
        <f>Table1[[#This Row],[Post 2025 TP Permit limit (mg/l)]]</f>
        <v>5</v>
      </c>
      <c r="G34" s="316">
        <f>Table1[[#This Row],[Post 2025 TP Permit limit (mg/l)]]</f>
        <v>5</v>
      </c>
      <c r="H34" s="98">
        <f>Table1[[#This Row],[Post 2030 TP Permit Limit (mg/l)]]</f>
        <v>5</v>
      </c>
      <c r="I34" s="38"/>
      <c r="J34" s="38"/>
      <c r="K34" s="38"/>
      <c r="L34" s="38"/>
      <c r="M34" s="38"/>
      <c r="N34" s="266" t="s">
        <v>53</v>
      </c>
      <c r="O34" s="268">
        <v>0.04</v>
      </c>
      <c r="P34" s="259">
        <v>0.04</v>
      </c>
      <c r="Q34" s="268">
        <v>0.04</v>
      </c>
      <c r="R34" s="259">
        <v>0.04</v>
      </c>
      <c r="S34" s="268">
        <v>0.04</v>
      </c>
      <c r="T34" s="259">
        <v>0.04</v>
      </c>
      <c r="U34" s="268">
        <v>0.09</v>
      </c>
      <c r="V34" s="259">
        <v>0.09</v>
      </c>
      <c r="W34" s="268">
        <v>0.28000000000000003</v>
      </c>
      <c r="X34" s="259">
        <v>0.28000000000000003</v>
      </c>
      <c r="Y34" s="268">
        <v>0.46</v>
      </c>
      <c r="Z34" s="259">
        <v>0.46</v>
      </c>
      <c r="AA34" s="263">
        <v>0.18</v>
      </c>
      <c r="AB34" s="259">
        <v>0.16</v>
      </c>
      <c r="AC34" s="268">
        <v>0.7</v>
      </c>
      <c r="AD34" s="259">
        <v>0.52</v>
      </c>
      <c r="AE34" s="268">
        <v>0.8</v>
      </c>
      <c r="AF34" s="269">
        <v>0.77</v>
      </c>
      <c r="AG34" s="111">
        <v>0.75</v>
      </c>
      <c r="AH34" s="108">
        <v>0.28000000000000003</v>
      </c>
      <c r="AI34" s="111">
        <v>0.75</v>
      </c>
      <c r="AJ34" s="108">
        <v>1.1599999999999999</v>
      </c>
      <c r="AK34" s="111">
        <v>0.75</v>
      </c>
      <c r="AL34" s="108">
        <v>0.75</v>
      </c>
    </row>
    <row r="35" spans="2:38" ht="12.95">
      <c r="B35" s="81" t="s">
        <v>391</v>
      </c>
      <c r="C35" s="315">
        <v>5</v>
      </c>
      <c r="D35" s="76">
        <f>Table1[[#This Row],[2023 TP Permit limit (mg/l)]]</f>
        <v>5</v>
      </c>
      <c r="E35" s="316">
        <v>5</v>
      </c>
      <c r="F35" s="76">
        <f>Table1[[#This Row],[Post 2025 TP Permit limit (mg/l)]]</f>
        <v>5</v>
      </c>
      <c r="G35" s="316">
        <f>Table1[[#This Row],[Post 2025 TP Permit limit (mg/l)]]</f>
        <v>5</v>
      </c>
      <c r="H35" s="98">
        <f>Table1[[#This Row],[Post 2030 TP Permit Limit (mg/l)]]</f>
        <v>5</v>
      </c>
      <c r="I35" s="38"/>
      <c r="J35" s="38"/>
      <c r="K35" s="38"/>
      <c r="L35" s="38"/>
      <c r="M35" s="38"/>
      <c r="N35" s="266" t="s">
        <v>51</v>
      </c>
      <c r="O35" s="268">
        <v>0.18</v>
      </c>
      <c r="P35" s="259">
        <v>0.06</v>
      </c>
      <c r="Q35" s="268">
        <v>0.18</v>
      </c>
      <c r="R35" s="259">
        <v>0.28999999999999998</v>
      </c>
      <c r="S35" s="268">
        <v>0.18</v>
      </c>
      <c r="T35" s="259">
        <v>0.18</v>
      </c>
      <c r="U35" s="268">
        <v>0.17</v>
      </c>
      <c r="V35" s="259">
        <v>0.17</v>
      </c>
      <c r="W35" s="268">
        <v>0.59</v>
      </c>
      <c r="X35" s="259">
        <v>0.59</v>
      </c>
      <c r="Y35" s="268">
        <v>0.86</v>
      </c>
      <c r="Z35" s="259">
        <v>0.86</v>
      </c>
      <c r="AA35" s="263">
        <v>0.3</v>
      </c>
      <c r="AB35" s="259">
        <v>0.3</v>
      </c>
      <c r="AC35" s="268">
        <v>1.19</v>
      </c>
      <c r="AD35" s="259">
        <v>1.1200000000000001</v>
      </c>
      <c r="AE35" s="268">
        <v>1.43</v>
      </c>
      <c r="AF35" s="269">
        <v>1.43</v>
      </c>
      <c r="AG35" s="111">
        <v>0.72</v>
      </c>
      <c r="AH35" s="108">
        <v>0.41</v>
      </c>
      <c r="AI35" s="111">
        <v>0.72</v>
      </c>
      <c r="AJ35" s="108">
        <v>1.95</v>
      </c>
      <c r="AK35" s="111">
        <v>0.72</v>
      </c>
      <c r="AL35" s="108">
        <v>0.72</v>
      </c>
    </row>
    <row r="36" spans="2:38" ht="12.95">
      <c r="B36" s="81" t="s">
        <v>392</v>
      </c>
      <c r="C36" s="315">
        <v>5</v>
      </c>
      <c r="D36" s="76">
        <f>Table1[[#This Row],[2023 TP Permit limit (mg/l)]]</f>
        <v>5</v>
      </c>
      <c r="E36" s="316">
        <v>5</v>
      </c>
      <c r="F36" s="76">
        <f>Table1[[#This Row],[Post 2025 TP Permit limit (mg/l)]]</f>
        <v>5</v>
      </c>
      <c r="G36" s="316">
        <f>Table1[[#This Row],[Post 2025 TP Permit limit (mg/l)]]</f>
        <v>5</v>
      </c>
      <c r="H36" s="98">
        <f>Table1[[#This Row],[Post 2030 TP Permit Limit (mg/l)]]</f>
        <v>5</v>
      </c>
      <c r="I36" s="38"/>
      <c r="J36" s="38"/>
      <c r="K36" s="38"/>
      <c r="L36" s="38"/>
      <c r="M36" s="38"/>
      <c r="N36" s="266" t="s">
        <v>65</v>
      </c>
      <c r="O36" s="268">
        <v>0.21</v>
      </c>
      <c r="P36" s="259">
        <v>0.04</v>
      </c>
      <c r="Q36" s="268">
        <v>0.18</v>
      </c>
      <c r="R36" s="259">
        <v>0.18</v>
      </c>
      <c r="S36" s="268">
        <v>0.21</v>
      </c>
      <c r="T36" s="259">
        <v>0.37</v>
      </c>
      <c r="U36" s="268">
        <v>0.11</v>
      </c>
      <c r="V36" s="259">
        <v>0.11</v>
      </c>
      <c r="W36" s="268">
        <v>0.3</v>
      </c>
      <c r="X36" s="259">
        <v>0.3</v>
      </c>
      <c r="Y36" s="268">
        <v>0.57999999999999996</v>
      </c>
      <c r="Z36" s="259">
        <v>0.57999999999999996</v>
      </c>
      <c r="AA36" s="263">
        <v>0.2</v>
      </c>
      <c r="AB36" s="259">
        <v>0.2</v>
      </c>
      <c r="AC36" s="268">
        <v>0.73</v>
      </c>
      <c r="AD36" s="259">
        <v>0.56999999999999995</v>
      </c>
      <c r="AE36" s="268">
        <v>1</v>
      </c>
      <c r="AF36" s="269">
        <v>1</v>
      </c>
      <c r="AG36" s="111">
        <v>0.57999999999999996</v>
      </c>
      <c r="AH36" s="108">
        <v>0.3</v>
      </c>
      <c r="AI36" s="111">
        <v>0.57999999999999996</v>
      </c>
      <c r="AJ36" s="108">
        <v>0.57999999999999996</v>
      </c>
      <c r="AK36" s="111">
        <v>0.57999999999999996</v>
      </c>
      <c r="AL36" s="108">
        <v>0.57999999999999996</v>
      </c>
    </row>
    <row r="37" spans="2:38" ht="12.95">
      <c r="B37" s="81" t="s">
        <v>393</v>
      </c>
      <c r="C37" s="286">
        <v>0</v>
      </c>
      <c r="D37" s="76">
        <f>Table1[[#This Row],[2023 TP Permit limit (mg/l)]]</f>
        <v>0</v>
      </c>
      <c r="E37" s="285">
        <v>0</v>
      </c>
      <c r="F37" s="76">
        <f>Table1[[#This Row],[Post 2025 TP Permit limit (mg/l)]]</f>
        <v>0</v>
      </c>
      <c r="G37" s="99">
        <f>Table1[[#This Row],[Post 2025 TP Permit limit (mg/l)]]</f>
        <v>0</v>
      </c>
      <c r="H37" s="98">
        <f>Table1[[#This Row],[Post 2030 TP Permit Limit (mg/l)]]</f>
        <v>0</v>
      </c>
      <c r="I37" s="38"/>
      <c r="J37" s="38"/>
      <c r="K37" s="38"/>
      <c r="L37" s="38"/>
      <c r="M37" s="38"/>
      <c r="N37" s="266" t="s">
        <v>339</v>
      </c>
      <c r="O37" s="268">
        <v>0.21</v>
      </c>
      <c r="P37" s="259">
        <v>0.21</v>
      </c>
      <c r="Q37" s="268">
        <v>0.21</v>
      </c>
      <c r="R37" s="259">
        <v>0.21</v>
      </c>
      <c r="S37" s="268">
        <v>0.21</v>
      </c>
      <c r="T37" s="259">
        <v>0.21</v>
      </c>
      <c r="U37" s="268">
        <v>0.11</v>
      </c>
      <c r="V37" s="259">
        <v>0.11</v>
      </c>
      <c r="W37" s="268">
        <v>0.11</v>
      </c>
      <c r="X37" s="259">
        <v>0.11</v>
      </c>
      <c r="Y37" s="268">
        <v>0.11</v>
      </c>
      <c r="Z37" s="259">
        <v>0.11</v>
      </c>
      <c r="AA37" s="263">
        <v>0.2</v>
      </c>
      <c r="AB37" s="259">
        <v>0.2</v>
      </c>
      <c r="AC37" s="268">
        <v>0.2</v>
      </c>
      <c r="AD37" s="259">
        <v>0.2</v>
      </c>
      <c r="AE37" s="268">
        <v>0.2</v>
      </c>
      <c r="AF37" s="269">
        <v>0.2</v>
      </c>
      <c r="AG37" s="107">
        <v>0.3</v>
      </c>
      <c r="AH37" s="260">
        <v>0.3</v>
      </c>
      <c r="AI37" s="107">
        <v>0.3</v>
      </c>
      <c r="AJ37" s="260">
        <v>0.3</v>
      </c>
      <c r="AK37" s="107">
        <v>0.3</v>
      </c>
      <c r="AL37" s="260">
        <v>0.3</v>
      </c>
    </row>
    <row r="38" spans="2:38" ht="13.5" thickBot="1">
      <c r="B38" s="81" t="s">
        <v>394</v>
      </c>
      <c r="C38" s="321">
        <v>6.22</v>
      </c>
      <c r="D38" s="76">
        <f>Table1[[#This Row],[2023 TP Permit limit (mg/l)]]</f>
        <v>6.22</v>
      </c>
      <c r="E38" s="288">
        <v>1.5</v>
      </c>
      <c r="F38" s="76">
        <f>Table1[[#This Row],[Post 2025 TP Permit limit (mg/l)]]*0.9</f>
        <v>1.35</v>
      </c>
      <c r="G38" s="288">
        <v>1.5</v>
      </c>
      <c r="H38" s="98">
        <f>Table1[[#This Row],[Post 2030 TP Permit Limit (mg/l)]]*0.9</f>
        <v>1.35</v>
      </c>
      <c r="I38" s="38"/>
      <c r="J38" s="38"/>
      <c r="K38" s="38"/>
      <c r="L38" s="38"/>
      <c r="M38" s="38"/>
      <c r="N38" s="267"/>
      <c r="O38" s="109">
        <v>0.06</v>
      </c>
      <c r="P38" s="110">
        <v>0.06</v>
      </c>
      <c r="Q38" s="109">
        <v>0.06</v>
      </c>
      <c r="R38" s="110">
        <v>0.06</v>
      </c>
      <c r="S38" s="109">
        <v>0.06</v>
      </c>
      <c r="T38" s="110">
        <v>0.06</v>
      </c>
      <c r="U38" s="109">
        <v>0.11</v>
      </c>
      <c r="V38" s="110">
        <v>0.11</v>
      </c>
      <c r="W38" s="109">
        <v>0.11</v>
      </c>
      <c r="X38" s="110">
        <v>0.11</v>
      </c>
      <c r="Y38" s="109">
        <v>0.24</v>
      </c>
      <c r="Z38" s="110">
        <v>0.5</v>
      </c>
      <c r="AA38" s="113">
        <v>0.16</v>
      </c>
      <c r="AB38" s="110">
        <v>0.16</v>
      </c>
      <c r="AC38" s="109">
        <v>0.18</v>
      </c>
      <c r="AD38" s="110">
        <v>0.18</v>
      </c>
      <c r="AE38" s="109">
        <v>0.45</v>
      </c>
      <c r="AF38" s="270">
        <v>0.87</v>
      </c>
      <c r="AG38" s="109">
        <v>0.26</v>
      </c>
      <c r="AH38" s="110">
        <v>0.22</v>
      </c>
      <c r="AI38" s="109">
        <v>0.26</v>
      </c>
      <c r="AJ38" s="110">
        <v>0.28000000000000003</v>
      </c>
      <c r="AK38" s="109">
        <v>0.26</v>
      </c>
      <c r="AL38" s="110">
        <v>0.26</v>
      </c>
    </row>
    <row r="39" spans="2:38" ht="12.95">
      <c r="B39" s="261" t="s">
        <v>395</v>
      </c>
      <c r="C39" s="315">
        <v>5</v>
      </c>
      <c r="D39" s="76">
        <f>Table1[[#This Row],[2023 TP Permit limit (mg/l)]]*1</f>
        <v>5</v>
      </c>
      <c r="E39" s="316">
        <v>5</v>
      </c>
      <c r="F39" s="76">
        <f>Table1[[#This Row],[Post 2025 TP Permit limit (mg/l)]]*1</f>
        <v>5</v>
      </c>
      <c r="G39" s="288">
        <v>0.25</v>
      </c>
      <c r="H39" s="98">
        <f>Table1[[#This Row],[Post 2030 TP Permit Limit (mg/l)]]*0.9</f>
        <v>0.22500000000000001</v>
      </c>
      <c r="I39" s="38"/>
      <c r="J39" s="38"/>
      <c r="K39" s="38"/>
      <c r="L39" s="38"/>
      <c r="AD39" s="38"/>
      <c r="AE39" s="38"/>
      <c r="AF39" s="38"/>
      <c r="AG39" s="38"/>
    </row>
    <row r="40" spans="2:38" ht="14.25" customHeight="1">
      <c r="B40" s="81" t="s">
        <v>396</v>
      </c>
      <c r="C40" s="286">
        <v>0</v>
      </c>
      <c r="D40" s="76">
        <f>Table1[[#This Row],[2023 TP Permit limit (mg/l)]]</f>
        <v>0</v>
      </c>
      <c r="E40" s="285">
        <v>0</v>
      </c>
      <c r="F40" s="76">
        <f>Table1[[#This Row],[Post 2025 TP Permit limit (mg/l)]]</f>
        <v>0</v>
      </c>
      <c r="G40" s="99">
        <f>Table1[[#This Row],[Post 2025 TP Permit limit (mg/l)]]</f>
        <v>0</v>
      </c>
      <c r="H40" s="98">
        <f>Table1[[#This Row],[Post 2030 TP Permit Limit (mg/l)]]</f>
        <v>0</v>
      </c>
      <c r="I40" s="38"/>
      <c r="J40" s="38"/>
      <c r="K40" s="38"/>
      <c r="L40" s="38"/>
      <c r="N40" s="38"/>
      <c r="U40" s="38"/>
      <c r="V40" s="297" t="s">
        <v>397</v>
      </c>
      <c r="W40" s="297" t="s">
        <v>398</v>
      </c>
      <c r="X40" s="297" t="s">
        <v>399</v>
      </c>
      <c r="Y40" s="297" t="s">
        <v>400</v>
      </c>
      <c r="Z40" s="297" t="s">
        <v>401</v>
      </c>
      <c r="AA40" s="297" t="s">
        <v>402</v>
      </c>
      <c r="AB40" s="297" t="s">
        <v>225</v>
      </c>
      <c r="AC40" s="298" t="s">
        <v>45</v>
      </c>
      <c r="AD40" s="297" t="s">
        <v>400</v>
      </c>
      <c r="AE40" s="297" t="s">
        <v>401</v>
      </c>
      <c r="AF40" s="297" t="s">
        <v>402</v>
      </c>
      <c r="AG40" s="297" t="s">
        <v>225</v>
      </c>
      <c r="AH40" s="297" t="s">
        <v>45</v>
      </c>
    </row>
    <row r="41" spans="2:38" ht="12.95">
      <c r="B41" s="81" t="s">
        <v>403</v>
      </c>
      <c r="C41" s="287">
        <v>1.8</v>
      </c>
      <c r="D41" s="76">
        <f>Table1[[#This Row],[2023 TP Permit limit (mg/l)]]*0.9</f>
        <v>1.62</v>
      </c>
      <c r="E41" s="288">
        <v>1</v>
      </c>
      <c r="F41" s="76">
        <f>Table1[[#This Row],[Post 2025 TP Permit limit (mg/l)]]*0.9</f>
        <v>0.9</v>
      </c>
      <c r="G41" s="288">
        <v>0.25</v>
      </c>
      <c r="H41" s="98">
        <f>Table1[[#This Row],[Post 2030 TP Permit Limit (mg/l)]]*0.9</f>
        <v>0.22500000000000001</v>
      </c>
      <c r="I41" s="38"/>
      <c r="J41" s="38"/>
      <c r="K41" s="38"/>
      <c r="L41" s="38"/>
      <c r="N41" s="38"/>
      <c r="U41" s="38"/>
      <c r="V41" s="256"/>
      <c r="W41" s="256"/>
      <c r="X41" s="256"/>
      <c r="Y41" s="256" t="s">
        <v>404</v>
      </c>
      <c r="Z41" s="256" t="s">
        <v>404</v>
      </c>
      <c r="AA41" s="256" t="s">
        <v>404</v>
      </c>
      <c r="AB41" s="256" t="s">
        <v>404</v>
      </c>
      <c r="AC41" s="258" t="s">
        <v>404</v>
      </c>
      <c r="AD41" s="256" t="s">
        <v>404</v>
      </c>
      <c r="AE41" s="256" t="s">
        <v>404</v>
      </c>
      <c r="AF41" s="256" t="s">
        <v>404</v>
      </c>
      <c r="AG41" s="256" t="s">
        <v>404</v>
      </c>
      <c r="AH41" s="256" t="s">
        <v>404</v>
      </c>
    </row>
    <row r="42" spans="2:38" ht="12.95">
      <c r="B42" s="81" t="s">
        <v>405</v>
      </c>
      <c r="C42" s="315">
        <v>5</v>
      </c>
      <c r="D42" s="76">
        <f>Table1[[#This Row],[2023 TP Permit limit (mg/l)]]</f>
        <v>5</v>
      </c>
      <c r="E42" s="316">
        <v>5</v>
      </c>
      <c r="F42" s="76">
        <f>Table1[[#This Row],[Post 2025 TP Permit limit (mg/l)]]</f>
        <v>5</v>
      </c>
      <c r="G42" s="316">
        <f>Table1[[#This Row],[Post 2025 TP Permit limit (mg/l)]]</f>
        <v>5</v>
      </c>
      <c r="H42" s="98">
        <f>Table1[[#This Row],[Post 2030 TP Permit Limit (mg/l)]]</f>
        <v>5</v>
      </c>
      <c r="I42" s="38"/>
      <c r="J42" s="38"/>
      <c r="K42" s="38"/>
      <c r="L42" s="38"/>
      <c r="N42" s="38"/>
      <c r="U42" s="38"/>
      <c r="V42" s="83" t="s">
        <v>299</v>
      </c>
      <c r="W42" s="83">
        <v>662.55</v>
      </c>
      <c r="X42" s="257">
        <f>(-129.5+(0.424*W42)-((2.28*0.0001)*(W42*W42))-((4.56*0.00000001)*(W42*W42*W42)))</f>
        <v>38.073109272169319</v>
      </c>
      <c r="Y42" s="257">
        <f>((((0.829*$X$56)+(0.078*X42)-20.7)/100)*W42)*($Z$56*0.01)</f>
        <v>1.3199174036773853</v>
      </c>
      <c r="Z42" s="257">
        <f t="shared" ref="Z42:Z52" si="0">((((0.829*$X$57)+(0.078*X42)-20.7)/100)*W42)*($Z$57*0.01)</f>
        <v>1.3199174036773853</v>
      </c>
      <c r="AA42" s="257">
        <f t="shared" ref="AA42:AA52" si="1">((((0.829*$X$58)+(0.078*X42)-20.7)/100)*W42)*($Z$58*0.01)</f>
        <v>1.3199174036773853</v>
      </c>
      <c r="AB42" s="257">
        <f>((((0.829*$X$59)+(0.078*X42)-20.7)/100)*W42)*($Z$59*0.01)</f>
        <v>0.96579322220296504</v>
      </c>
      <c r="AC42" s="259">
        <f t="shared" ref="AC42:AC52" si="2">((((0.829*$X$60)+(0.078*X42)-20.7)/100)*W42)*($Z$60*0.01)</f>
        <v>0.70824836294884108</v>
      </c>
      <c r="AD42" s="257">
        <f>((((0.829*$Y$56)+(0.078*X42)-20.7)/100)*W42)*($Z$56*0.01)</f>
        <v>1.3199174036773853</v>
      </c>
      <c r="AE42" s="257">
        <f>((((0.829*$Y$57)+(0.078*X42)-20.7)/100)*W42)*($Z$57*0.01)</f>
        <v>1.3199174036773853</v>
      </c>
      <c r="AF42" s="257">
        <f>((((0.829*$Y$57)+(0.078*X42)-20.7)/100)*W42)*($Z$57*0.01)</f>
        <v>1.3199174036773853</v>
      </c>
      <c r="AG42" s="257">
        <f>((((0.829*$Y$59)+(0.078*X42)-20.7)/100)*W42)*($Z$59*0.01)</f>
        <v>0.96579322220296504</v>
      </c>
      <c r="AH42" s="257">
        <f>((((0.829*$Y$60)+(0.078*X42)-20.7)/100)*W42)*($Z$60*0.01)</f>
        <v>0.70824836294884108</v>
      </c>
    </row>
    <row r="43" spans="2:38" ht="12.95">
      <c r="B43" s="81" t="s">
        <v>406</v>
      </c>
      <c r="C43" s="321">
        <v>5.04</v>
      </c>
      <c r="D43" s="76">
        <f>Table1[[#This Row],[2023 TP Permit limit (mg/l)]]</f>
        <v>5.04</v>
      </c>
      <c r="E43" s="322">
        <v>5.04</v>
      </c>
      <c r="F43" s="76">
        <f>Table1[[#This Row],[Post 2025 TP Permit limit (mg/l)]]</f>
        <v>5.04</v>
      </c>
      <c r="G43" s="288">
        <v>1</v>
      </c>
      <c r="H43" s="98">
        <f>Table1[[#This Row],[Post 2030 TP Permit Limit (mg/l)]]*0.9</f>
        <v>0.9</v>
      </c>
      <c r="I43" s="38"/>
      <c r="J43" s="38"/>
      <c r="K43" s="38"/>
      <c r="L43" s="38"/>
      <c r="U43" s="38"/>
      <c r="V43" s="83" t="s">
        <v>407</v>
      </c>
      <c r="W43" s="83">
        <v>687.55</v>
      </c>
      <c r="X43" s="257">
        <f>(-129.5+(0.424*W43)-((2.28*0.0001)*(W43*W43))-((4.56*0.00000001)*(W43*W43*W43)))</f>
        <v>39.418892788619281</v>
      </c>
      <c r="Y43" s="257">
        <f t="shared" ref="Y43:Y52" si="3">((((0.829*$X$56)+(0.078*X43)-20.7)/100)*W43)*($Z$56*0.01)</f>
        <v>1.3726809372383346</v>
      </c>
      <c r="Z43" s="257">
        <f t="shared" si="0"/>
        <v>1.3726809372383346</v>
      </c>
      <c r="AA43" s="257">
        <f t="shared" si="1"/>
        <v>1.3726809372383346</v>
      </c>
      <c r="AB43" s="257">
        <f t="shared" ref="AB43:AB52" si="4">((((0.829*$X$59)+(0.078*X43)-20.7)/100)*W43)*($Z$59*0.01)</f>
        <v>1.0044006857841474</v>
      </c>
      <c r="AC43" s="259">
        <f t="shared" si="2"/>
        <v>0.73656050290837483</v>
      </c>
      <c r="AD43" s="257">
        <f t="shared" ref="AD43:AD48" si="5">((((0.829*$Y$56)+(0.078*X43)-20.7)/100)*W43)*($Z$56*0.01)</f>
        <v>1.3726809372383346</v>
      </c>
      <c r="AE43" s="257">
        <f t="shared" ref="AE43:AE52" si="6">((((0.829*$Y$57)+(0.078*X43)-20.7)/100)*W43)*($Z$57*0.01)</f>
        <v>1.3726809372383346</v>
      </c>
      <c r="AF43" s="257">
        <f t="shared" ref="AF43:AF52" si="7">((((0.829*$Y$57)+(0.078*X43)-20.7)/100)*W43)*($Z$57*0.01)</f>
        <v>1.3726809372383346</v>
      </c>
      <c r="AG43" s="257">
        <f t="shared" ref="AG43:AG52" si="8">((((0.829*$Y$59)+(0.078*X43)-20.7)/100)*W43)*($Z$59*0.01)</f>
        <v>1.0044006857841474</v>
      </c>
      <c r="AH43" s="257">
        <f t="shared" ref="AH43:AH52" si="9">((((0.829*$Y$60)+(0.078*X43)-20.7)/100)*W43)*($Z$60*0.01)</f>
        <v>0.73656050290837483</v>
      </c>
    </row>
    <row r="44" spans="2:38" ht="12.95">
      <c r="B44" s="81" t="s">
        <v>408</v>
      </c>
      <c r="C44" s="287">
        <v>2</v>
      </c>
      <c r="D44" s="76">
        <f>Table1[[#This Row],[2023 TP Permit limit (mg/l)]]*0.9</f>
        <v>1.8</v>
      </c>
      <c r="E44" s="288">
        <v>0.8</v>
      </c>
      <c r="F44" s="76">
        <f>Table1[[#This Row],[Post 2025 TP Permit limit (mg/l)]]*0.9</f>
        <v>0.72000000000000008</v>
      </c>
      <c r="G44" s="288">
        <v>0.25</v>
      </c>
      <c r="H44" s="98">
        <f>Table1[[#This Row],[Post 2030 TP Permit Limit (mg/l)]]*0.9</f>
        <v>0.22500000000000001</v>
      </c>
      <c r="I44" s="38"/>
      <c r="J44" s="38"/>
      <c r="K44" s="38"/>
      <c r="L44" s="38"/>
      <c r="U44" s="38"/>
      <c r="V44" s="83" t="s">
        <v>409</v>
      </c>
      <c r="W44" s="83">
        <v>725.05</v>
      </c>
      <c r="X44" s="257">
        <f>(-129.5+(0.424*W44)-((2.28*0.0001)*(W44*W44))-((4.56*0.00000001)*(W44*W44*W44)))</f>
        <v>40.68141140704433</v>
      </c>
      <c r="Y44" s="257">
        <f t="shared" si="3"/>
        <v>1.4504764123754861</v>
      </c>
      <c r="Z44" s="257">
        <f t="shared" si="0"/>
        <v>1.4504764123754861</v>
      </c>
      <c r="AA44" s="257">
        <f t="shared" si="1"/>
        <v>1.4504764123754861</v>
      </c>
      <c r="AB44" s="257">
        <f t="shared" si="4"/>
        <v>1.0613242041771851</v>
      </c>
      <c r="AC44" s="259">
        <f t="shared" si="2"/>
        <v>0.77830441639660242</v>
      </c>
      <c r="AD44" s="257">
        <f t="shared" si="5"/>
        <v>1.4504764123754861</v>
      </c>
      <c r="AE44" s="257">
        <f t="shared" si="6"/>
        <v>1.4504764123754861</v>
      </c>
      <c r="AF44" s="257">
        <f t="shared" si="7"/>
        <v>1.4504764123754861</v>
      </c>
      <c r="AG44" s="257">
        <f t="shared" si="8"/>
        <v>1.0613242041771851</v>
      </c>
      <c r="AH44" s="257">
        <f t="shared" si="9"/>
        <v>0.77830441639660242</v>
      </c>
    </row>
    <row r="45" spans="2:38" ht="12.95">
      <c r="B45" s="81" t="s">
        <v>410</v>
      </c>
      <c r="C45" s="315">
        <v>5</v>
      </c>
      <c r="D45" s="76">
        <f>Table1[[#This Row],[2023 TP Permit limit (mg/l)]]</f>
        <v>5</v>
      </c>
      <c r="E45" s="316">
        <v>5</v>
      </c>
      <c r="F45" s="76">
        <f>Table1[[#This Row],[Post 2025 TP Permit limit (mg/l)]]</f>
        <v>5</v>
      </c>
      <c r="G45" s="316">
        <f>Table1[[#This Row],[Post 2025 TP Permit limit (mg/l)]]</f>
        <v>5</v>
      </c>
      <c r="H45" s="98">
        <f>Table1[[#This Row],[Post 2030 TP Permit Limit (mg/l)]]</f>
        <v>5</v>
      </c>
      <c r="I45" s="38"/>
      <c r="J45" s="38"/>
      <c r="K45" s="38"/>
      <c r="L45" s="38"/>
      <c r="U45" s="38"/>
      <c r="V45" s="83" t="s">
        <v>411</v>
      </c>
      <c r="W45" s="83">
        <v>775.05</v>
      </c>
      <c r="X45" s="257">
        <v>41</v>
      </c>
      <c r="Y45" s="257">
        <f t="shared" si="3"/>
        <v>1.5512920268999992</v>
      </c>
      <c r="Z45" s="257">
        <f t="shared" si="0"/>
        <v>1.5512920268999992</v>
      </c>
      <c r="AA45" s="257">
        <f t="shared" si="1"/>
        <v>1.5512920268999992</v>
      </c>
      <c r="AB45" s="257">
        <f t="shared" si="4"/>
        <v>1.1350917269999996</v>
      </c>
      <c r="AC45" s="259">
        <f t="shared" si="2"/>
        <v>0.83240059979999981</v>
      </c>
      <c r="AD45" s="257">
        <f t="shared" si="5"/>
        <v>1.5512920268999992</v>
      </c>
      <c r="AE45" s="257">
        <f t="shared" si="6"/>
        <v>1.5512920268999992</v>
      </c>
      <c r="AF45" s="257">
        <f t="shared" si="7"/>
        <v>1.5512920268999992</v>
      </c>
      <c r="AG45" s="257">
        <f t="shared" si="8"/>
        <v>1.1350917269999996</v>
      </c>
      <c r="AH45" s="257">
        <f t="shared" si="9"/>
        <v>0.83240059979999981</v>
      </c>
    </row>
    <row r="46" spans="2:38" ht="12.95">
      <c r="B46" s="81" t="s">
        <v>412</v>
      </c>
      <c r="C46" s="315">
        <v>5</v>
      </c>
      <c r="D46" s="76">
        <f>Table1[[#This Row],[2023 TP Permit limit (mg/l)]]</f>
        <v>5</v>
      </c>
      <c r="E46" s="316">
        <v>5</v>
      </c>
      <c r="F46" s="76">
        <f>Table1[[#This Row],[Post 2025 TP Permit limit (mg/l)]]</f>
        <v>5</v>
      </c>
      <c r="G46" s="316">
        <f>Table1[[#This Row],[Post 2025 TP Permit limit (mg/l)]]</f>
        <v>5</v>
      </c>
      <c r="H46" s="98">
        <f>Table1[[#This Row],[Post 2030 TP Permit Limit (mg/l)]]</f>
        <v>5</v>
      </c>
      <c r="I46" s="38"/>
      <c r="J46" s="38"/>
      <c r="K46" s="38"/>
      <c r="L46" s="38"/>
      <c r="U46" s="38"/>
      <c r="V46" s="83" t="s">
        <v>413</v>
      </c>
      <c r="W46" s="83">
        <v>825.05</v>
      </c>
      <c r="X46" s="257">
        <v>41</v>
      </c>
      <c r="Y46" s="257">
        <f t="shared" si="3"/>
        <v>1.6513689268999991</v>
      </c>
      <c r="Z46" s="257">
        <f t="shared" si="0"/>
        <v>1.6513689268999991</v>
      </c>
      <c r="AA46" s="257">
        <f t="shared" si="1"/>
        <v>1.6513689268999991</v>
      </c>
      <c r="AB46" s="257">
        <f t="shared" si="4"/>
        <v>1.2083187269999995</v>
      </c>
      <c r="AC46" s="259">
        <f t="shared" si="2"/>
        <v>0.88610039979999977</v>
      </c>
      <c r="AD46" s="257">
        <f t="shared" si="5"/>
        <v>1.6513689268999991</v>
      </c>
      <c r="AE46" s="257">
        <f t="shared" si="6"/>
        <v>1.6513689268999991</v>
      </c>
      <c r="AF46" s="257">
        <f t="shared" si="7"/>
        <v>1.6513689268999991</v>
      </c>
      <c r="AG46" s="257">
        <f t="shared" si="8"/>
        <v>1.2083187269999995</v>
      </c>
      <c r="AH46" s="257">
        <f t="shared" si="9"/>
        <v>0.88610039979999977</v>
      </c>
    </row>
    <row r="47" spans="2:38" ht="12.95">
      <c r="B47" s="81" t="s">
        <v>414</v>
      </c>
      <c r="C47" s="321">
        <v>3.28</v>
      </c>
      <c r="D47" s="76">
        <f>Table1[[#This Row],[2023 TP Permit limit (mg/l)]]</f>
        <v>3.28</v>
      </c>
      <c r="E47" s="322">
        <v>3.28</v>
      </c>
      <c r="F47" s="76">
        <f>Table1[[#This Row],[Post 2025 TP Permit limit (mg/l)]]</f>
        <v>3.28</v>
      </c>
      <c r="G47" s="322">
        <v>3.28</v>
      </c>
      <c r="H47" s="98">
        <f>Table1[[#This Row],[Post 2030 TP Permit Limit (mg/l)]]</f>
        <v>3.28</v>
      </c>
      <c r="I47" s="38"/>
      <c r="J47" s="38"/>
      <c r="K47" s="38"/>
      <c r="L47" s="38"/>
      <c r="U47" s="38"/>
      <c r="V47" s="83" t="s">
        <v>415</v>
      </c>
      <c r="W47" s="83">
        <v>875.05</v>
      </c>
      <c r="X47" s="257">
        <v>41</v>
      </c>
      <c r="Y47" s="257">
        <f t="shared" si="3"/>
        <v>1.7514458268999991</v>
      </c>
      <c r="Z47" s="257">
        <f t="shared" si="0"/>
        <v>1.7514458268999991</v>
      </c>
      <c r="AA47" s="257">
        <f t="shared" si="1"/>
        <v>1.7514458268999991</v>
      </c>
      <c r="AB47" s="257">
        <f t="shared" si="4"/>
        <v>1.2815457269999995</v>
      </c>
      <c r="AC47" s="259">
        <f t="shared" si="2"/>
        <v>0.93980019979999974</v>
      </c>
      <c r="AD47" s="257">
        <f t="shared" si="5"/>
        <v>1.7514458268999991</v>
      </c>
      <c r="AE47" s="257">
        <f t="shared" si="6"/>
        <v>1.7514458268999991</v>
      </c>
      <c r="AF47" s="257">
        <f t="shared" si="7"/>
        <v>1.7514458268999991</v>
      </c>
      <c r="AG47" s="257">
        <f t="shared" si="8"/>
        <v>1.2815457269999995</v>
      </c>
      <c r="AH47" s="257">
        <f t="shared" si="9"/>
        <v>0.93980019979999974</v>
      </c>
    </row>
    <row r="48" spans="2:38" ht="12.95">
      <c r="B48" s="81" t="s">
        <v>416</v>
      </c>
      <c r="C48" s="321">
        <v>3.97</v>
      </c>
      <c r="D48" s="76">
        <f>Table1[[#This Row],[2023 TP Permit limit (mg/l)]]</f>
        <v>3.97</v>
      </c>
      <c r="E48" s="288">
        <v>1.5</v>
      </c>
      <c r="F48" s="76">
        <f>Table1[[#This Row],[Post 2025 TP Permit limit (mg/l)]]*0.9</f>
        <v>1.35</v>
      </c>
      <c r="G48" s="288">
        <v>1.5</v>
      </c>
      <c r="H48" s="98">
        <f>Table1[[#This Row],[Post 2030 TP Permit Limit (mg/l)]]*0.9</f>
        <v>1.35</v>
      </c>
      <c r="I48" s="38"/>
      <c r="J48" s="38"/>
      <c r="K48" s="38"/>
      <c r="L48" s="38"/>
      <c r="U48" s="38"/>
      <c r="V48" s="83" t="s">
        <v>417</v>
      </c>
      <c r="W48" s="83">
        <v>925.05</v>
      </c>
      <c r="X48" s="257">
        <v>41</v>
      </c>
      <c r="Y48" s="257">
        <f t="shared" si="3"/>
        <v>1.8515227268999992</v>
      </c>
      <c r="Z48" s="257">
        <f t="shared" si="0"/>
        <v>1.8515227268999992</v>
      </c>
      <c r="AA48" s="257">
        <f t="shared" si="1"/>
        <v>1.8515227268999992</v>
      </c>
      <c r="AB48" s="257">
        <f t="shared" si="4"/>
        <v>1.3547727269999996</v>
      </c>
      <c r="AC48" s="259">
        <f t="shared" si="2"/>
        <v>0.9934999997999997</v>
      </c>
      <c r="AD48" s="257">
        <f t="shared" si="5"/>
        <v>1.8515227268999992</v>
      </c>
      <c r="AE48" s="257">
        <f t="shared" si="6"/>
        <v>1.8515227268999992</v>
      </c>
      <c r="AF48" s="257">
        <f t="shared" si="7"/>
        <v>1.8515227268999992</v>
      </c>
      <c r="AG48" s="257">
        <f t="shared" si="8"/>
        <v>1.3547727269999996</v>
      </c>
      <c r="AH48" s="257">
        <f t="shared" si="9"/>
        <v>0.9934999997999997</v>
      </c>
    </row>
    <row r="49" spans="2:34" ht="12.95">
      <c r="B49" s="81" t="s">
        <v>418</v>
      </c>
      <c r="C49" s="321">
        <v>3.61</v>
      </c>
      <c r="D49" s="76">
        <f>Table1[[#This Row],[2023 TP Permit limit (mg/l)]]</f>
        <v>3.61</v>
      </c>
      <c r="E49" s="322">
        <v>3.61</v>
      </c>
      <c r="F49" s="76">
        <f>Table1[[#This Row],[Post 2025 TP Permit limit (mg/l)]]</f>
        <v>3.61</v>
      </c>
      <c r="G49" s="288">
        <v>1</v>
      </c>
      <c r="H49" s="98">
        <f>Table1[[#This Row],[Post 2030 TP Permit Limit (mg/l)]]*0.9</f>
        <v>0.9</v>
      </c>
      <c r="I49" s="38"/>
      <c r="J49" s="38"/>
      <c r="K49" s="38"/>
      <c r="L49" s="38"/>
      <c r="U49" s="38"/>
      <c r="V49" s="83" t="s">
        <v>419</v>
      </c>
      <c r="W49" s="83">
        <v>975.05</v>
      </c>
      <c r="X49" s="257">
        <v>41</v>
      </c>
      <c r="Y49" s="257">
        <f t="shared" si="3"/>
        <v>1.9515996268999991</v>
      </c>
      <c r="Z49" s="257">
        <f t="shared" si="0"/>
        <v>1.9515996268999991</v>
      </c>
      <c r="AA49" s="257">
        <f t="shared" si="1"/>
        <v>1.9515996268999991</v>
      </c>
      <c r="AB49" s="257">
        <f t="shared" si="4"/>
        <v>1.4279997269999996</v>
      </c>
      <c r="AC49" s="259">
        <f t="shared" si="2"/>
        <v>1.0471997997999998</v>
      </c>
      <c r="AD49" s="257">
        <f t="shared" ref="AD49:AD52" si="10">((((0.829*$Y$56)+(0.078*X49)-20.7)/100)*W49)*($Z$56*0.01)</f>
        <v>1.9515996268999991</v>
      </c>
      <c r="AE49" s="257">
        <f t="shared" si="6"/>
        <v>1.9515996268999991</v>
      </c>
      <c r="AF49" s="257">
        <f t="shared" si="7"/>
        <v>1.9515996268999991</v>
      </c>
      <c r="AG49" s="257">
        <f t="shared" si="8"/>
        <v>1.4279997269999996</v>
      </c>
      <c r="AH49" s="257">
        <f t="shared" si="9"/>
        <v>1.0471997997999998</v>
      </c>
    </row>
    <row r="50" spans="2:34" ht="12.95">
      <c r="B50" s="81" t="s">
        <v>420</v>
      </c>
      <c r="C50" s="321">
        <v>6.14</v>
      </c>
      <c r="D50" s="76">
        <f>Table1[[#This Row],[2023 TP Permit limit (mg/l)]]</f>
        <v>6.14</v>
      </c>
      <c r="E50" s="322">
        <v>6.14</v>
      </c>
      <c r="F50" s="76">
        <f>Table1[[#This Row],[Post 2025 TP Permit limit (mg/l)]]</f>
        <v>6.14</v>
      </c>
      <c r="G50" s="322">
        <f>Table1[[#This Row],[Post 2025 TP Permit limit (mg/l)]]</f>
        <v>6.14</v>
      </c>
      <c r="H50" s="98">
        <f>Table1[[#This Row],[Post 2030 TP Permit Limit (mg/l)]]</f>
        <v>6.14</v>
      </c>
      <c r="I50" s="38"/>
      <c r="J50" s="38"/>
      <c r="K50" s="38"/>
      <c r="L50" s="38"/>
      <c r="U50" s="38"/>
      <c r="V50" s="83" t="s">
        <v>216</v>
      </c>
      <c r="W50" s="83">
        <v>1050.05</v>
      </c>
      <c r="X50" s="257">
        <v>41</v>
      </c>
      <c r="Y50" s="257">
        <f t="shared" si="3"/>
        <v>2.101714976899999</v>
      </c>
      <c r="Z50" s="257">
        <f t="shared" si="0"/>
        <v>2.101714976899999</v>
      </c>
      <c r="AA50" s="257">
        <f t="shared" si="1"/>
        <v>2.101714976899999</v>
      </c>
      <c r="AB50" s="257">
        <f t="shared" si="4"/>
        <v>1.5378402269999996</v>
      </c>
      <c r="AC50" s="259">
        <f t="shared" si="2"/>
        <v>1.1277494997999997</v>
      </c>
      <c r="AD50" s="257">
        <f>((((0.829*$Y$56)+(0.078*X50)-20.7)/100)*W50)*($Z$56*0.01)</f>
        <v>2.101714976899999</v>
      </c>
      <c r="AE50" s="257">
        <f t="shared" si="6"/>
        <v>2.101714976899999</v>
      </c>
      <c r="AF50" s="257">
        <f t="shared" si="7"/>
        <v>2.101714976899999</v>
      </c>
      <c r="AG50" s="257">
        <f t="shared" si="8"/>
        <v>1.5378402269999996</v>
      </c>
      <c r="AH50" s="257">
        <f t="shared" si="9"/>
        <v>1.1277494997999997</v>
      </c>
    </row>
    <row r="51" spans="2:34" ht="12.95">
      <c r="B51" s="81" t="s">
        <v>421</v>
      </c>
      <c r="C51" s="315">
        <v>5</v>
      </c>
      <c r="D51" s="76">
        <f>Table1[[#This Row],[2023 TP Permit limit (mg/l)]]</f>
        <v>5</v>
      </c>
      <c r="E51" s="316">
        <v>5</v>
      </c>
      <c r="F51" s="76">
        <f>Table1[[#This Row],[Post 2025 TP Permit limit (mg/l)]]</f>
        <v>5</v>
      </c>
      <c r="G51" s="316">
        <f>Table1[[#This Row],[Post 2025 TP Permit limit (mg/l)]]</f>
        <v>5</v>
      </c>
      <c r="H51" s="98">
        <f>Table1[[#This Row],[Post 2030 TP Permit Limit (mg/l)]]</f>
        <v>5</v>
      </c>
      <c r="I51" s="38"/>
      <c r="J51" s="38"/>
      <c r="K51" s="38"/>
      <c r="L51" s="38"/>
      <c r="U51" s="38"/>
      <c r="V51" s="83" t="s">
        <v>422</v>
      </c>
      <c r="W51" s="83">
        <v>1150.05</v>
      </c>
      <c r="X51" s="257">
        <v>41</v>
      </c>
      <c r="Y51" s="257">
        <f t="shared" si="3"/>
        <v>2.3018687768999988</v>
      </c>
      <c r="Z51" s="257">
        <f t="shared" si="0"/>
        <v>2.3018687768999988</v>
      </c>
      <c r="AA51" s="257">
        <f t="shared" si="1"/>
        <v>2.3018687768999988</v>
      </c>
      <c r="AB51" s="257">
        <f t="shared" si="4"/>
        <v>1.6842942269999994</v>
      </c>
      <c r="AC51" s="259">
        <f t="shared" si="2"/>
        <v>1.2351490997999997</v>
      </c>
      <c r="AD51" s="257">
        <f>((((0.829*$Y$56)+(0.078*X51)-20.7)/100)*W51)*($Z$56*0.01)</f>
        <v>2.3018687768999988</v>
      </c>
      <c r="AE51" s="257">
        <f t="shared" si="6"/>
        <v>2.3018687768999988</v>
      </c>
      <c r="AF51" s="257">
        <f t="shared" si="7"/>
        <v>2.3018687768999988</v>
      </c>
      <c r="AG51" s="257">
        <f t="shared" si="8"/>
        <v>1.6842942269999994</v>
      </c>
      <c r="AH51" s="257">
        <f t="shared" si="9"/>
        <v>1.2351490997999997</v>
      </c>
    </row>
    <row r="52" spans="2:34" ht="12.95">
      <c r="B52" s="81" t="s">
        <v>423</v>
      </c>
      <c r="C52" s="321">
        <v>3.63</v>
      </c>
      <c r="D52" s="76">
        <f>Table1[[#This Row],[2023 TP Permit limit (mg/l)]]</f>
        <v>3.63</v>
      </c>
      <c r="E52" s="322">
        <v>3.63</v>
      </c>
      <c r="F52" s="76">
        <f>Table1[[#This Row],[Post 2025 TP Permit limit (mg/l)]]</f>
        <v>3.63</v>
      </c>
      <c r="G52" s="288">
        <v>0.25</v>
      </c>
      <c r="H52" s="98">
        <f>Table1[[#This Row],[Post 2030 TP Permit Limit (mg/l)]]*0.9</f>
        <v>0.22500000000000001</v>
      </c>
      <c r="I52" s="38"/>
      <c r="J52" s="38"/>
      <c r="K52" s="38"/>
      <c r="L52" s="38"/>
      <c r="U52" s="38"/>
      <c r="V52" s="83" t="s">
        <v>424</v>
      </c>
      <c r="W52" s="83">
        <v>1300.05</v>
      </c>
      <c r="X52" s="257">
        <v>41</v>
      </c>
      <c r="Y52" s="257">
        <f t="shared" si="3"/>
        <v>2.6020994768999985</v>
      </c>
      <c r="Z52" s="257">
        <f t="shared" si="0"/>
        <v>2.6020994768999985</v>
      </c>
      <c r="AA52" s="257">
        <f t="shared" si="1"/>
        <v>2.6020994768999985</v>
      </c>
      <c r="AB52" s="257">
        <f t="shared" si="4"/>
        <v>1.9039752269999994</v>
      </c>
      <c r="AC52" s="259">
        <f t="shared" si="2"/>
        <v>1.3962484997999995</v>
      </c>
      <c r="AD52" s="257">
        <f t="shared" si="10"/>
        <v>2.6020994768999985</v>
      </c>
      <c r="AE52" s="257">
        <f t="shared" si="6"/>
        <v>2.6020994768999985</v>
      </c>
      <c r="AF52" s="257">
        <f t="shared" si="7"/>
        <v>2.6020994768999985</v>
      </c>
      <c r="AG52" s="257">
        <f t="shared" si="8"/>
        <v>1.9039752269999994</v>
      </c>
      <c r="AH52" s="257">
        <f t="shared" si="9"/>
        <v>1.3962484997999995</v>
      </c>
    </row>
    <row r="53" spans="2:34" ht="12.95">
      <c r="B53" s="81" t="s">
        <v>425</v>
      </c>
      <c r="C53" s="287">
        <v>2.5</v>
      </c>
      <c r="D53" s="76">
        <f>Table1[[#This Row],[2023 TP Permit limit (mg/l)]]*0.9</f>
        <v>2.25</v>
      </c>
      <c r="E53" s="288">
        <v>1</v>
      </c>
      <c r="F53" s="76">
        <f>Table1[[#This Row],[Post 2025 TP Permit limit (mg/l)]]*0.9</f>
        <v>0.9</v>
      </c>
      <c r="G53" s="288">
        <v>0.25</v>
      </c>
      <c r="H53" s="98">
        <f>Table1[[#This Row],[Post 2030 TP Permit Limit (mg/l)]]*0.9</f>
        <v>0.22500000000000001</v>
      </c>
      <c r="I53" s="38"/>
      <c r="J53" s="38"/>
      <c r="K53" s="38"/>
      <c r="L53" s="38"/>
      <c r="AD53" s="38"/>
      <c r="AF53" s="38"/>
    </row>
    <row r="54" spans="2:34" ht="12.95">
      <c r="B54" s="81" t="s">
        <v>426</v>
      </c>
      <c r="C54" s="287">
        <v>1</v>
      </c>
      <c r="D54" s="76">
        <f>Table1[[#This Row],[2023 TP Permit limit (mg/l)]]*0.9</f>
        <v>0.9</v>
      </c>
      <c r="E54" s="288">
        <v>1</v>
      </c>
      <c r="F54" s="76">
        <f>Table1[[#This Row],[Post 2025 TP Permit limit (mg/l)]]*0.9</f>
        <v>0.9</v>
      </c>
      <c r="G54" s="288">
        <v>0.25</v>
      </c>
      <c r="H54" s="98">
        <f>Table1[[#This Row],[Post 2030 TP Permit Limit (mg/l)]]*0.9</f>
        <v>0.22500000000000001</v>
      </c>
      <c r="I54" s="38"/>
      <c r="J54" s="38"/>
      <c r="K54" s="38"/>
      <c r="L54" s="38"/>
      <c r="AB54" s="13"/>
      <c r="AC54" s="82"/>
      <c r="AD54" s="38"/>
      <c r="AF54" s="38"/>
    </row>
    <row r="55" spans="2:34" ht="13.5" customHeight="1">
      <c r="B55" s="81" t="s">
        <v>427</v>
      </c>
      <c r="C55" s="287">
        <v>5</v>
      </c>
      <c r="D55" s="76">
        <f>Table1[[#This Row],[2023 TP Permit limit (mg/l)]]*0.9</f>
        <v>4.5</v>
      </c>
      <c r="E55" s="288">
        <v>5</v>
      </c>
      <c r="F55" s="76">
        <f>Table1[[#This Row],[Post 2025 TP Permit limit (mg/l)]]*0.9</f>
        <v>4.5</v>
      </c>
      <c r="G55" s="288">
        <v>5</v>
      </c>
      <c r="H55" s="98">
        <f>Table1[[#This Row],[Post 2030 TP Permit Limit (mg/l)]]*0.9</f>
        <v>4.5</v>
      </c>
      <c r="I55" s="38"/>
      <c r="J55" s="38"/>
      <c r="K55" s="38"/>
      <c r="L55" s="38"/>
      <c r="V55" s="299"/>
      <c r="W55" s="297" t="s">
        <v>428</v>
      </c>
      <c r="X55" s="297" t="s">
        <v>429</v>
      </c>
      <c r="Y55" s="297" t="s">
        <v>429</v>
      </c>
      <c r="Z55" s="297" t="s">
        <v>430</v>
      </c>
      <c r="AB55" s="13"/>
      <c r="AC55" s="82"/>
      <c r="AD55" s="38"/>
      <c r="AF55" s="38"/>
    </row>
    <row r="56" spans="2:34" ht="12.95">
      <c r="B56" s="81" t="s">
        <v>431</v>
      </c>
      <c r="C56" s="321">
        <v>5.41</v>
      </c>
      <c r="D56" s="76">
        <f>Table1[[#This Row],[2023 TP Permit limit (mg/l)]]</f>
        <v>5.41</v>
      </c>
      <c r="E56" s="322">
        <v>5.41</v>
      </c>
      <c r="F56" s="76">
        <f>Table1[[#This Row],[Post 2025 TP Permit limit (mg/l)]]</f>
        <v>5.41</v>
      </c>
      <c r="G56" s="322">
        <f>Table1[[#This Row],[Post 2025 TP Permit limit (mg/l)]]</f>
        <v>5.41</v>
      </c>
      <c r="H56" s="98">
        <f>Table1[[#This Row],[Post 2030 TP Permit Limit (mg/l)]]</f>
        <v>5.41</v>
      </c>
      <c r="I56" s="38"/>
      <c r="J56" s="38"/>
      <c r="K56" s="38"/>
      <c r="L56" s="38"/>
      <c r="V56" s="83" t="s">
        <v>404</v>
      </c>
      <c r="W56" s="83" t="s">
        <v>400</v>
      </c>
      <c r="X56" s="83">
        <v>80</v>
      </c>
      <c r="Y56" s="83">
        <v>80</v>
      </c>
      <c r="Z56" s="83">
        <v>0.41</v>
      </c>
      <c r="AB56" s="13"/>
      <c r="AC56" s="82"/>
      <c r="AD56" s="38"/>
      <c r="AF56" s="38"/>
    </row>
    <row r="57" spans="2:34" ht="12.95">
      <c r="B57" s="81" t="s">
        <v>432</v>
      </c>
      <c r="C57" s="321">
        <v>3.45</v>
      </c>
      <c r="D57" s="76">
        <f>Table1[[#This Row],[2023 TP Permit limit (mg/l)]]</f>
        <v>3.45</v>
      </c>
      <c r="E57" s="312">
        <v>0.7</v>
      </c>
      <c r="F57" s="76">
        <f>Table1[[#This Row],[Post 2025 TP Permit limit (mg/l)]]*0.9</f>
        <v>0.63</v>
      </c>
      <c r="G57" s="288">
        <v>0.25</v>
      </c>
      <c r="H57" s="98">
        <f>Table1[[#This Row],[Post 2030 TP Permit Limit (mg/l)]]*0.9</f>
        <v>0.22500000000000001</v>
      </c>
      <c r="I57" s="38"/>
      <c r="J57" s="38"/>
      <c r="K57" s="38"/>
      <c r="L57" s="38"/>
      <c r="V57" s="83" t="s">
        <v>404</v>
      </c>
      <c r="W57" s="83" t="s">
        <v>401</v>
      </c>
      <c r="X57" s="83">
        <v>80</v>
      </c>
      <c r="Y57" s="83">
        <v>80</v>
      </c>
      <c r="Z57" s="83">
        <v>0.41</v>
      </c>
      <c r="AA57" s="38"/>
      <c r="AB57" s="13"/>
      <c r="AC57" s="82"/>
      <c r="AD57" s="38"/>
      <c r="AE57" s="38"/>
      <c r="AF57" s="38"/>
      <c r="AG57" s="38"/>
    </row>
    <row r="58" spans="2:34" ht="12.95">
      <c r="B58" s="81" t="s">
        <v>433</v>
      </c>
      <c r="C58" s="321">
        <v>5.38</v>
      </c>
      <c r="D58" s="76">
        <f>Table1[[#This Row],[2023 TP Permit limit (mg/l)]]</f>
        <v>5.38</v>
      </c>
      <c r="E58" s="322">
        <v>5.38</v>
      </c>
      <c r="F58" s="76">
        <f>Table1[[#This Row],[Post 2025 TP Permit limit (mg/l)]]</f>
        <v>5.38</v>
      </c>
      <c r="G58" s="288">
        <v>1</v>
      </c>
      <c r="H58" s="98">
        <f>Table1[[#This Row],[Post 2030 TP Permit Limit (mg/l)]]*0.9</f>
        <v>0.9</v>
      </c>
      <c r="I58" s="38"/>
      <c r="J58" s="38"/>
      <c r="K58" s="38"/>
      <c r="L58" s="38"/>
      <c r="V58" s="83" t="s">
        <v>404</v>
      </c>
      <c r="W58" s="83" t="s">
        <v>402</v>
      </c>
      <c r="X58" s="83">
        <v>80</v>
      </c>
      <c r="Y58" s="83">
        <v>80</v>
      </c>
      <c r="Z58" s="83">
        <v>0.41</v>
      </c>
      <c r="AA58" s="38"/>
      <c r="AB58" s="13"/>
      <c r="AC58" s="82"/>
      <c r="AD58" s="38"/>
      <c r="AE58" s="38"/>
      <c r="AF58" s="38"/>
      <c r="AG58" s="38"/>
    </row>
    <row r="59" spans="2:34" ht="12.95">
      <c r="B59" s="81" t="s">
        <v>434</v>
      </c>
      <c r="C59" s="286">
        <v>0</v>
      </c>
      <c r="D59" s="76">
        <f>Table1[[#This Row],[2023 TP Permit limit (mg/l)]]</f>
        <v>0</v>
      </c>
      <c r="E59" s="285">
        <v>0</v>
      </c>
      <c r="F59" s="76">
        <f>Table1[[#This Row],[Post 2025 TP Permit limit (mg/l)]]</f>
        <v>0</v>
      </c>
      <c r="G59" s="99">
        <f>Table1[[#This Row],[Post 2025 TP Permit limit (mg/l)]]</f>
        <v>0</v>
      </c>
      <c r="H59" s="98">
        <f>Table1[[#This Row],[Post 2030 TP Permit Limit (mg/l)]]</f>
        <v>0</v>
      </c>
      <c r="I59" s="38"/>
      <c r="J59" s="38"/>
      <c r="K59" s="38"/>
      <c r="L59" s="38"/>
      <c r="V59" s="83" t="s">
        <v>404</v>
      </c>
      <c r="W59" s="83" t="s">
        <v>225</v>
      </c>
      <c r="X59" s="83">
        <v>80</v>
      </c>
      <c r="Y59" s="83">
        <v>80</v>
      </c>
      <c r="Z59" s="83">
        <v>0.3</v>
      </c>
      <c r="AA59" s="38"/>
      <c r="AB59" s="13"/>
      <c r="AC59" s="82"/>
      <c r="AD59" s="38"/>
      <c r="AE59" s="38"/>
      <c r="AF59" s="38"/>
      <c r="AG59" s="38"/>
    </row>
    <row r="60" spans="2:34" ht="12.95">
      <c r="B60" s="81" t="s">
        <v>435</v>
      </c>
      <c r="C60" s="315">
        <v>5</v>
      </c>
      <c r="D60" s="76">
        <f>Table1[[#This Row],[2023 TP Permit limit (mg/l)]]</f>
        <v>5</v>
      </c>
      <c r="E60" s="316">
        <v>5</v>
      </c>
      <c r="F60" s="76">
        <f>Table1[[#This Row],[Post 2025 TP Permit limit (mg/l)]]</f>
        <v>5</v>
      </c>
      <c r="G60" s="316">
        <f>Table1[[#This Row],[Post 2025 TP Permit limit (mg/l)]]</f>
        <v>5</v>
      </c>
      <c r="H60" s="98">
        <f>Table1[[#This Row],[Post 2030 TP Permit Limit (mg/l)]]</f>
        <v>5</v>
      </c>
      <c r="I60" s="38"/>
      <c r="J60" s="38"/>
      <c r="K60" s="38"/>
      <c r="L60" s="38"/>
      <c r="V60" s="83" t="s">
        <v>404</v>
      </c>
      <c r="W60" s="83" t="s">
        <v>45</v>
      </c>
      <c r="X60" s="83">
        <v>80</v>
      </c>
      <c r="Y60" s="83">
        <v>80</v>
      </c>
      <c r="Z60" s="83">
        <v>0.22</v>
      </c>
      <c r="AA60" s="38"/>
      <c r="AB60" s="13"/>
      <c r="AC60" s="82"/>
      <c r="AD60" s="38"/>
      <c r="AE60" s="38"/>
      <c r="AF60" s="38"/>
      <c r="AG60" s="38"/>
    </row>
    <row r="61" spans="2:34" ht="12.95">
      <c r="B61" s="81" t="s">
        <v>436</v>
      </c>
      <c r="C61" s="315">
        <v>5</v>
      </c>
      <c r="D61" s="76">
        <f>Table1[[#This Row],[2023 TP Permit limit (mg/l)]]</f>
        <v>5</v>
      </c>
      <c r="E61" s="316">
        <v>5</v>
      </c>
      <c r="F61" s="76">
        <f>Table1[[#This Row],[Post 2025 TP Permit limit (mg/l)]]</f>
        <v>5</v>
      </c>
      <c r="G61" s="316">
        <f>Table1[[#This Row],[Post 2025 TP Permit limit (mg/l)]]</f>
        <v>5</v>
      </c>
      <c r="H61" s="98">
        <f>Table1[[#This Row],[Post 2030 TP Permit Limit (mg/l)]]</f>
        <v>5</v>
      </c>
      <c r="I61" s="38"/>
      <c r="J61" s="38"/>
      <c r="K61" s="38"/>
      <c r="L61" s="38"/>
      <c r="Z61" s="38"/>
      <c r="AA61" s="38"/>
      <c r="AB61" s="13"/>
      <c r="AC61" s="82"/>
      <c r="AD61" s="38"/>
      <c r="AE61" s="38"/>
      <c r="AF61" s="38"/>
      <c r="AG61" s="38"/>
    </row>
    <row r="62" spans="2:34" ht="12.95">
      <c r="B62" s="81" t="s">
        <v>437</v>
      </c>
      <c r="C62" s="315">
        <v>5</v>
      </c>
      <c r="D62" s="76">
        <f>Table1[[#This Row],[2023 TP Permit limit (mg/l)]]</f>
        <v>5</v>
      </c>
      <c r="E62" s="316">
        <v>5</v>
      </c>
      <c r="F62" s="76">
        <f>Table1[[#This Row],[Post 2025 TP Permit limit (mg/l)]]</f>
        <v>5</v>
      </c>
      <c r="G62" s="316">
        <f>Table1[[#This Row],[Post 2025 TP Permit limit (mg/l)]]</f>
        <v>5</v>
      </c>
      <c r="H62" s="98">
        <f>Table1[[#This Row],[Post 2030 TP Permit Limit (mg/l)]]</f>
        <v>5</v>
      </c>
      <c r="I62" s="38"/>
      <c r="J62" s="38"/>
      <c r="K62" s="38"/>
      <c r="L62" s="38"/>
      <c r="Z62" s="38"/>
      <c r="AA62" s="38"/>
      <c r="AB62" s="13"/>
      <c r="AC62" s="82"/>
      <c r="AD62" s="38"/>
      <c r="AE62" s="38"/>
      <c r="AF62" s="38"/>
      <c r="AG62" s="38"/>
    </row>
    <row r="63" spans="2:34" ht="12.95">
      <c r="B63" s="325" t="s">
        <v>438</v>
      </c>
      <c r="C63" s="321">
        <v>4.22</v>
      </c>
      <c r="D63" s="76">
        <f>Table1[[#This Row],[2023 TP Permit limit (mg/l)]]</f>
        <v>4.22</v>
      </c>
      <c r="E63" s="322">
        <v>4.22</v>
      </c>
      <c r="F63" s="76">
        <f>Table1[[#This Row],[Post 2025 TP Permit limit (mg/l)]]</f>
        <v>4.22</v>
      </c>
      <c r="G63" s="322">
        <f>Table1[[#This Row],[Post 2025 TP Permit limit (mg/l)]]</f>
        <v>4.22</v>
      </c>
      <c r="H63" s="98">
        <f>Table1[[#This Row],[Post 2030 TP Permit Limit (mg/l)]]</f>
        <v>4.22</v>
      </c>
      <c r="I63" s="38"/>
      <c r="J63" s="38"/>
      <c r="K63" s="38"/>
      <c r="L63" s="38"/>
      <c r="M63" s="38"/>
      <c r="N63" s="38"/>
      <c r="O63" s="38"/>
      <c r="P63" s="38"/>
      <c r="Q63" s="38"/>
      <c r="R63" s="38"/>
      <c r="S63" s="38"/>
      <c r="T63" s="38"/>
      <c r="Z63" s="38"/>
      <c r="AA63" s="38"/>
      <c r="AB63" s="13"/>
      <c r="AC63" s="82"/>
      <c r="AD63" s="38"/>
      <c r="AE63" s="38"/>
      <c r="AF63" s="38"/>
      <c r="AG63" s="38"/>
    </row>
    <row r="64" spans="2:34" ht="12.95">
      <c r="B64" s="81" t="s">
        <v>439</v>
      </c>
      <c r="C64" s="321">
        <v>5.58</v>
      </c>
      <c r="D64" s="76">
        <f>Table1[[#This Row],[2023 TP Permit limit (mg/l)]]</f>
        <v>5.58</v>
      </c>
      <c r="E64" s="288">
        <v>1</v>
      </c>
      <c r="F64" s="76">
        <f>Table1[[#This Row],[Post 2025 TP Permit limit (mg/l)]]*0.9</f>
        <v>0.9</v>
      </c>
      <c r="G64" s="288">
        <v>0.25</v>
      </c>
      <c r="H64" s="98">
        <f>Table1[[#This Row],[Post 2030 TP Permit Limit (mg/l)]]*0.9</f>
        <v>0.22500000000000001</v>
      </c>
      <c r="I64" s="38"/>
      <c r="J64" s="38"/>
      <c r="K64" s="38"/>
      <c r="L64" s="38"/>
      <c r="M64" s="38"/>
      <c r="N64" s="38"/>
      <c r="O64" s="38"/>
      <c r="P64" s="38"/>
      <c r="Q64" s="38"/>
      <c r="R64" s="38"/>
      <c r="S64" s="38"/>
      <c r="T64" s="38"/>
      <c r="U64" s="38"/>
      <c r="Z64" s="38"/>
      <c r="AA64" s="38"/>
      <c r="AB64" s="13"/>
      <c r="AC64" s="82"/>
      <c r="AD64" s="38"/>
      <c r="AE64" s="38"/>
      <c r="AF64" s="38"/>
      <c r="AG64" s="38"/>
    </row>
    <row r="65" spans="2:33" ht="12.95">
      <c r="B65" s="81" t="s">
        <v>440</v>
      </c>
      <c r="C65" s="315">
        <v>5</v>
      </c>
      <c r="D65" s="76">
        <f>Table1[[#This Row],[2023 TP Permit limit (mg/l)]]</f>
        <v>5</v>
      </c>
      <c r="E65" s="316">
        <v>5</v>
      </c>
      <c r="F65" s="76">
        <f>Table1[[#This Row],[Post 2025 TP Permit limit (mg/l)]]</f>
        <v>5</v>
      </c>
      <c r="G65" s="316">
        <f>Table1[[#This Row],[Post 2025 TP Permit limit (mg/l)]]</f>
        <v>5</v>
      </c>
      <c r="H65" s="98">
        <f>Table1[[#This Row],[Post 2030 TP Permit Limit (mg/l)]]</f>
        <v>5</v>
      </c>
      <c r="I65" s="38"/>
      <c r="J65" s="38"/>
      <c r="K65" s="38"/>
      <c r="L65" s="38"/>
      <c r="M65" s="38"/>
      <c r="N65" s="38"/>
      <c r="O65" s="38"/>
      <c r="P65" s="38"/>
      <c r="Q65" s="38"/>
      <c r="R65" s="38"/>
      <c r="S65" s="38"/>
      <c r="T65" s="38"/>
      <c r="U65" s="38"/>
      <c r="V65" s="38"/>
      <c r="W65" s="38"/>
      <c r="X65" s="38"/>
      <c r="Y65" s="38"/>
      <c r="Z65" s="38"/>
      <c r="AA65" s="38"/>
      <c r="AB65" s="13"/>
      <c r="AC65" s="38"/>
      <c r="AD65" s="38"/>
      <c r="AE65" s="38"/>
      <c r="AF65" s="38"/>
      <c r="AG65" s="38"/>
    </row>
    <row r="66" spans="2:33" ht="12.95">
      <c r="B66" s="81" t="s">
        <v>441</v>
      </c>
      <c r="C66" s="286">
        <v>0</v>
      </c>
      <c r="D66" s="76">
        <f>Table1[[#This Row],[2023 TP Permit limit (mg/l)]]</f>
        <v>0</v>
      </c>
      <c r="E66" s="285">
        <v>0</v>
      </c>
      <c r="F66" s="76">
        <f>Table1[[#This Row],[Post 2025 TP Permit limit (mg/l)]]</f>
        <v>0</v>
      </c>
      <c r="G66" s="99">
        <f>Table1[[#This Row],[Post 2025 TP Permit limit (mg/l)]]</f>
        <v>0</v>
      </c>
      <c r="H66" s="98">
        <f>Table1[[#This Row],[Post 2030 TP Permit Limit (mg/l)]]</f>
        <v>0</v>
      </c>
      <c r="I66" s="38"/>
      <c r="J66" s="38"/>
      <c r="K66" s="38"/>
      <c r="L66" s="38"/>
      <c r="M66" s="38"/>
      <c r="N66" s="38"/>
      <c r="O66" s="38"/>
      <c r="P66" s="38"/>
      <c r="Q66" s="38"/>
      <c r="R66" s="38"/>
      <c r="S66" s="38"/>
      <c r="T66" s="38"/>
      <c r="U66" s="38"/>
      <c r="V66" s="38"/>
      <c r="W66" s="38"/>
      <c r="X66" s="38"/>
      <c r="Y66" s="38"/>
      <c r="Z66" s="38"/>
      <c r="AA66" s="38"/>
      <c r="AB66" s="13"/>
      <c r="AC66" s="38"/>
      <c r="AD66" s="38"/>
      <c r="AE66" s="38"/>
      <c r="AF66" s="38"/>
      <c r="AG66" s="38"/>
    </row>
    <row r="67" spans="2:33" ht="12.95">
      <c r="B67" s="81" t="s">
        <v>442</v>
      </c>
      <c r="C67" s="321">
        <v>4.47</v>
      </c>
      <c r="D67" s="76">
        <f>Table1[[#This Row],[2023 TP Permit limit (mg/l)]]</f>
        <v>4.47</v>
      </c>
      <c r="E67" s="288">
        <v>1</v>
      </c>
      <c r="F67" s="76">
        <f>Table1[[#This Row],[Post 2025 TP Permit limit (mg/l)]]*0.9</f>
        <v>0.9</v>
      </c>
      <c r="G67" s="288">
        <v>0.25</v>
      </c>
      <c r="H67" s="98">
        <f>Table1[[#This Row],[Post 2030 TP Permit Limit (mg/l)]]*0.9</f>
        <v>0.22500000000000001</v>
      </c>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row>
    <row r="68" spans="2:33" ht="12.95">
      <c r="B68" s="81" t="s">
        <v>443</v>
      </c>
      <c r="C68" s="315">
        <v>5</v>
      </c>
      <c r="D68" s="76">
        <f>Table1[[#This Row],[2023 TP Permit limit (mg/l)]]</f>
        <v>5</v>
      </c>
      <c r="E68" s="316">
        <v>5</v>
      </c>
      <c r="F68" s="76">
        <f>Table1[[#This Row],[Post 2025 TP Permit limit (mg/l)]]</f>
        <v>5</v>
      </c>
      <c r="G68" s="316">
        <f>Table1[[#This Row],[Post 2025 TP Permit limit (mg/l)]]</f>
        <v>5</v>
      </c>
      <c r="H68" s="98">
        <f>Table1[[#This Row],[Post 2030 TP Permit Limit (mg/l)]]</f>
        <v>5</v>
      </c>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row>
    <row r="69" spans="2:33" ht="12.95">
      <c r="B69" s="81" t="s">
        <v>444</v>
      </c>
      <c r="C69" s="321">
        <v>3.22</v>
      </c>
      <c r="D69" s="76">
        <f>Table1[[#This Row],[2023 TP Permit limit (mg/l)]]</f>
        <v>3.22</v>
      </c>
      <c r="E69" s="288">
        <v>1</v>
      </c>
      <c r="F69" s="76">
        <f>Table1[[#This Row],[Post 2025 TP Permit limit (mg/l)]]*0.9</f>
        <v>0.9</v>
      </c>
      <c r="G69" s="288">
        <v>0.25</v>
      </c>
      <c r="H69" s="98">
        <f>Table1[[#This Row],[Post 2030 TP Permit Limit (mg/l)]]*0.9</f>
        <v>0.22500000000000001</v>
      </c>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row>
    <row r="70" spans="2:33" ht="12.95">
      <c r="B70" s="81" t="s">
        <v>445</v>
      </c>
      <c r="C70" s="321">
        <v>5.01</v>
      </c>
      <c r="D70" s="76">
        <f>Table1[[#This Row],[2023 TP Permit limit (mg/l)]]</f>
        <v>5.01</v>
      </c>
      <c r="E70" s="288">
        <v>1</v>
      </c>
      <c r="F70" s="76">
        <f>Table1[[#This Row],[Post 2025 TP Permit limit (mg/l)]]*0.9</f>
        <v>0.9</v>
      </c>
      <c r="G70" s="288">
        <v>1</v>
      </c>
      <c r="H70" s="98">
        <f>Table1[[#This Row],[Post 2030 TP Permit Limit (mg/l)]]*0.9</f>
        <v>0.9</v>
      </c>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row>
    <row r="71" spans="2:33" ht="12.95">
      <c r="B71" s="81" t="s">
        <v>446</v>
      </c>
      <c r="C71" s="315">
        <v>5</v>
      </c>
      <c r="D71" s="76">
        <f>Table1[[#This Row],[2023 TP Permit limit (mg/l)]]</f>
        <v>5</v>
      </c>
      <c r="E71" s="319">
        <v>5</v>
      </c>
      <c r="F71" s="76">
        <f>Table1[[#This Row],[Post 2025 TP Permit limit (mg/l)]]</f>
        <v>5</v>
      </c>
      <c r="G71" s="316">
        <f>Table1[[#This Row],[Post 2025 TP Permit limit (mg/l)]]</f>
        <v>5</v>
      </c>
      <c r="H71" s="98">
        <f>Table1[[#This Row],[Post 2030 TP Permit Limit (mg/l)]]</f>
        <v>5</v>
      </c>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row>
    <row r="72" spans="2:33" ht="12.95">
      <c r="B72" s="81" t="s">
        <v>447</v>
      </c>
      <c r="C72" s="315">
        <v>5</v>
      </c>
      <c r="D72" s="76">
        <f>Table1[[#This Row],[2023 TP Permit limit (mg/l)]]</f>
        <v>5</v>
      </c>
      <c r="E72" s="316">
        <v>5</v>
      </c>
      <c r="F72" s="76">
        <f>Table1[[#This Row],[Post 2025 TP Permit limit (mg/l)]]</f>
        <v>5</v>
      </c>
      <c r="G72" s="316">
        <f>Table1[[#This Row],[Post 2025 TP Permit limit (mg/l)]]</f>
        <v>5</v>
      </c>
      <c r="H72" s="98">
        <f>Table1[[#This Row],[Post 2030 TP Permit Limit (mg/l)]]</f>
        <v>5</v>
      </c>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row>
    <row r="73" spans="2:33" ht="12.95">
      <c r="B73" s="81" t="s">
        <v>448</v>
      </c>
      <c r="C73" s="321">
        <v>4.95</v>
      </c>
      <c r="D73" s="76">
        <f>Table1[[#This Row],[2023 TP Permit limit (mg/l)]]</f>
        <v>4.95</v>
      </c>
      <c r="E73" s="322">
        <v>4.95</v>
      </c>
      <c r="F73" s="76">
        <f>Table1[[#This Row],[Post 2025 TP Permit limit (mg/l)]]</f>
        <v>4.95</v>
      </c>
      <c r="G73" s="322">
        <f>Table1[[#This Row],[Post 2025 TP Permit limit (mg/l)]]</f>
        <v>4.95</v>
      </c>
      <c r="H73" s="98">
        <f>Table1[[#This Row],[Post 2030 TP Permit Limit (mg/l)]]</f>
        <v>4.95</v>
      </c>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row>
    <row r="74" spans="2:33" ht="12.95">
      <c r="B74" s="81" t="s">
        <v>449</v>
      </c>
      <c r="C74" s="315">
        <v>5</v>
      </c>
      <c r="D74" s="76">
        <f>Table1[[#This Row],[2023 TP Permit limit (mg/l)]]</f>
        <v>5</v>
      </c>
      <c r="E74" s="316">
        <v>5</v>
      </c>
      <c r="F74" s="76">
        <f>Table1[[#This Row],[Post 2025 TP Permit limit (mg/l)]]</f>
        <v>5</v>
      </c>
      <c r="G74" s="316">
        <f>Table1[[#This Row],[Post 2025 TP Permit limit (mg/l)]]</f>
        <v>5</v>
      </c>
      <c r="H74" s="98">
        <f>Table1[[#This Row],[Post 2030 TP Permit Limit (mg/l)]]</f>
        <v>5</v>
      </c>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row>
    <row r="75" spans="2:33" ht="12.95">
      <c r="B75" s="81" t="s">
        <v>450</v>
      </c>
      <c r="C75" s="321">
        <v>3.04</v>
      </c>
      <c r="D75" s="76">
        <f>Table1[[#This Row],[2023 TP Permit limit (mg/l)]]</f>
        <v>3.04</v>
      </c>
      <c r="E75" s="322">
        <v>3.04</v>
      </c>
      <c r="F75" s="76">
        <f>Table1[[#This Row],[Post 2025 TP Permit limit (mg/l)]]</f>
        <v>3.04</v>
      </c>
      <c r="G75" s="322">
        <f>Table1[[#This Row],[Post 2025 TP Permit limit (mg/l)]]</f>
        <v>3.04</v>
      </c>
      <c r="H75" s="98">
        <f>Table1[[#This Row],[Post 2030 TP Permit Limit (mg/l)]]</f>
        <v>3.04</v>
      </c>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row>
    <row r="76" spans="2:33" ht="12.95">
      <c r="B76" s="81" t="s">
        <v>451</v>
      </c>
      <c r="C76" s="315">
        <v>5</v>
      </c>
      <c r="D76" s="76">
        <f>Table1[[#This Row],[2023 TP Permit limit (mg/l)]]</f>
        <v>5</v>
      </c>
      <c r="E76" s="316">
        <v>5</v>
      </c>
      <c r="F76" s="76">
        <f>Table1[[#This Row],[Post 2025 TP Permit limit (mg/l)]]</f>
        <v>5</v>
      </c>
      <c r="G76" s="316">
        <f>Table1[[#This Row],[Post 2025 TP Permit limit (mg/l)]]</f>
        <v>5</v>
      </c>
      <c r="H76" s="98">
        <f>Table1[[#This Row],[Post 2030 TP Permit Limit (mg/l)]]</f>
        <v>5</v>
      </c>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row>
    <row r="77" spans="2:33" ht="12.95">
      <c r="B77" s="81" t="s">
        <v>452</v>
      </c>
      <c r="C77" s="315">
        <v>5</v>
      </c>
      <c r="D77" s="76">
        <f>Table1[[#This Row],[2023 TP Permit limit (mg/l)]]</f>
        <v>5</v>
      </c>
      <c r="E77" s="316">
        <v>5</v>
      </c>
      <c r="F77" s="76">
        <f>Table1[[#This Row],[Post 2025 TP Permit limit (mg/l)]]</f>
        <v>5</v>
      </c>
      <c r="G77" s="316">
        <f>Table1[[#This Row],[Post 2025 TP Permit limit (mg/l)]]</f>
        <v>5</v>
      </c>
      <c r="H77" s="98">
        <f>Table1[[#This Row],[Post 2030 TP Permit Limit (mg/l)]]</f>
        <v>5</v>
      </c>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row>
    <row r="78" spans="2:33" ht="12.95">
      <c r="B78" s="81" t="s">
        <v>453</v>
      </c>
      <c r="C78" s="286">
        <v>0</v>
      </c>
      <c r="D78" s="76">
        <f>Table1[[#This Row],[2023 TP Permit limit (mg/l)]]</f>
        <v>0</v>
      </c>
      <c r="E78" s="285">
        <v>0</v>
      </c>
      <c r="F78" s="76">
        <f>Table1[[#This Row],[Post 2025 TP Permit limit (mg/l)]]</f>
        <v>0</v>
      </c>
      <c r="G78" s="99">
        <f>Table1[[#This Row],[Post 2025 TP Permit limit (mg/l)]]</f>
        <v>0</v>
      </c>
      <c r="H78" s="98">
        <f>Table1[[#This Row],[Post 2030 TP Permit Limit (mg/l)]]</f>
        <v>0</v>
      </c>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row>
    <row r="79" spans="2:33" ht="12.95">
      <c r="B79" s="81" t="s">
        <v>454</v>
      </c>
      <c r="C79" s="315">
        <v>5</v>
      </c>
      <c r="D79" s="76">
        <f>Table1[[#This Row],[2023 TP Permit limit (mg/l)]]</f>
        <v>5</v>
      </c>
      <c r="E79" s="319">
        <v>5</v>
      </c>
      <c r="F79" s="76">
        <f>Table1[[#This Row],[Post 2025 TP Permit limit (mg/l)]]</f>
        <v>5</v>
      </c>
      <c r="G79" s="316">
        <f>Table1[[#This Row],[Post 2025 TP Permit limit (mg/l)]]</f>
        <v>5</v>
      </c>
      <c r="H79" s="98">
        <f>Table1[[#This Row],[Post 2030 TP Permit Limit (mg/l)]]</f>
        <v>5</v>
      </c>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row>
    <row r="80" spans="2:33" ht="12.95">
      <c r="B80" s="81" t="s">
        <v>455</v>
      </c>
      <c r="C80" s="315">
        <v>5</v>
      </c>
      <c r="D80" s="76">
        <f>Table1[[#This Row],[2023 TP Permit limit (mg/l)]]</f>
        <v>5</v>
      </c>
      <c r="E80" s="316">
        <v>5</v>
      </c>
      <c r="F80" s="76">
        <f>Table1[[#This Row],[Post 2025 TP Permit limit (mg/l)]]</f>
        <v>5</v>
      </c>
      <c r="G80" s="316">
        <f>Table1[[#This Row],[Post 2025 TP Permit limit (mg/l)]]</f>
        <v>5</v>
      </c>
      <c r="H80" s="98">
        <f>Table1[[#This Row],[Post 2030 TP Permit Limit (mg/l)]]</f>
        <v>5</v>
      </c>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row>
    <row r="81" spans="2:33" ht="12.95">
      <c r="B81" s="81" t="s">
        <v>456</v>
      </c>
      <c r="C81" s="315">
        <v>5</v>
      </c>
      <c r="D81" s="76">
        <f>Table1[[#This Row],[2023 TP Permit limit (mg/l)]]</f>
        <v>5</v>
      </c>
      <c r="E81" s="319">
        <v>5</v>
      </c>
      <c r="F81" s="76">
        <f>Table1[[#This Row],[Post 2025 TP Permit limit (mg/l)]]</f>
        <v>5</v>
      </c>
      <c r="G81" s="316">
        <f>Table1[[#This Row],[Post 2025 TP Permit limit (mg/l)]]</f>
        <v>5</v>
      </c>
      <c r="H81" s="98">
        <f>Table1[[#This Row],[Post 2030 TP Permit Limit (mg/l)]]</f>
        <v>5</v>
      </c>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row>
    <row r="82" spans="2:33" ht="12.95">
      <c r="B82" s="81" t="s">
        <v>457</v>
      </c>
      <c r="C82" s="315">
        <v>5</v>
      </c>
      <c r="D82" s="76">
        <f>Table1[[#This Row],[2023 TP Permit limit (mg/l)]]</f>
        <v>5</v>
      </c>
      <c r="E82" s="316">
        <v>5</v>
      </c>
      <c r="F82" s="76">
        <f>Table1[[#This Row],[Post 2025 TP Permit limit (mg/l)]]</f>
        <v>5</v>
      </c>
      <c r="G82" s="316">
        <f>Table1[[#This Row],[Post 2025 TP Permit limit (mg/l)]]</f>
        <v>5</v>
      </c>
      <c r="H82" s="98">
        <f>Table1[[#This Row],[Post 2030 TP Permit Limit (mg/l)]]</f>
        <v>5</v>
      </c>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row>
    <row r="83" spans="2:33" ht="12.95">
      <c r="B83" s="81" t="s">
        <v>458</v>
      </c>
      <c r="C83" s="321">
        <v>4.8</v>
      </c>
      <c r="D83" s="76">
        <f>Table1[[#This Row],[2023 TP Permit limit (mg/l)]]</f>
        <v>4.8</v>
      </c>
      <c r="E83" s="322">
        <v>4.8</v>
      </c>
      <c r="F83" s="76">
        <f>Table1[[#This Row],[Post 2025 TP Permit limit (mg/l)]]</f>
        <v>4.8</v>
      </c>
      <c r="G83" s="322">
        <f>Table1[[#This Row],[Post 2025 TP Permit limit (mg/l)]]</f>
        <v>4.8</v>
      </c>
      <c r="H83" s="98">
        <f>Table1[[#This Row],[Post 2030 TP Permit Limit (mg/l)]]</f>
        <v>4.8</v>
      </c>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row>
    <row r="84" spans="2:33" ht="12.95">
      <c r="B84" s="81" t="s">
        <v>459</v>
      </c>
      <c r="C84" s="287">
        <v>2</v>
      </c>
      <c r="D84" s="76">
        <f>Table1[[#This Row],[2023 TP Permit limit (mg/l)]]*0.9</f>
        <v>1.8</v>
      </c>
      <c r="E84" s="288">
        <v>0.35</v>
      </c>
      <c r="F84" s="76">
        <f>Table1[[#This Row],[Post 2025 TP Permit limit (mg/l)]]*0.9</f>
        <v>0.315</v>
      </c>
      <c r="G84" s="288">
        <v>0.25</v>
      </c>
      <c r="H84" s="98">
        <f>Table1[[#This Row],[Post 2030 TP Permit Limit (mg/l)]]*0.9</f>
        <v>0.22500000000000001</v>
      </c>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row>
    <row r="85" spans="2:33" ht="12.95">
      <c r="B85" s="81" t="s">
        <v>460</v>
      </c>
      <c r="C85" s="315">
        <v>5</v>
      </c>
      <c r="D85" s="76">
        <f>Table1[[#This Row],[2023 TP Permit limit (mg/l)]]</f>
        <v>5</v>
      </c>
      <c r="E85" s="316">
        <v>5</v>
      </c>
      <c r="F85" s="76">
        <f>Table1[[#This Row],[Post 2025 TP Permit limit (mg/l)]]</f>
        <v>5</v>
      </c>
      <c r="G85" s="316">
        <f>Table1[[#This Row],[Post 2025 TP Permit limit (mg/l)]]</f>
        <v>5</v>
      </c>
      <c r="H85" s="98">
        <f>Table1[[#This Row],[Post 2030 TP Permit Limit (mg/l)]]</f>
        <v>5</v>
      </c>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row>
    <row r="86" spans="2:33" ht="12.95">
      <c r="B86" s="81" t="s">
        <v>461</v>
      </c>
      <c r="C86" s="287">
        <v>0.5</v>
      </c>
      <c r="D86" s="76">
        <f>Table1[[#This Row],[2023 TP Permit limit (mg/l)]]*0.9</f>
        <v>0.45</v>
      </c>
      <c r="E86" s="288">
        <v>0.5</v>
      </c>
      <c r="F86" s="76">
        <f>Table1[[#This Row],[Post 2025 TP Permit limit (mg/l)]]*0.9</f>
        <v>0.45</v>
      </c>
      <c r="G86" s="288">
        <v>0.25</v>
      </c>
      <c r="H86" s="98">
        <f>Table1[[#This Row],[Post 2030 TP Permit Limit (mg/l)]]*0.9</f>
        <v>0.22500000000000001</v>
      </c>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row>
    <row r="87" spans="2:33" ht="12.95">
      <c r="B87" s="81" t="s">
        <v>462</v>
      </c>
      <c r="C87" s="321">
        <v>4.09</v>
      </c>
      <c r="D87" s="76">
        <f>Table1[[#This Row],[2023 TP Permit limit (mg/l)]]</f>
        <v>4.09</v>
      </c>
      <c r="E87" s="288">
        <v>0.5</v>
      </c>
      <c r="F87" s="76">
        <f>Table1[[#This Row],[Post 2025 TP Permit limit (mg/l)]]*0.9</f>
        <v>0.45</v>
      </c>
      <c r="G87" s="288">
        <v>0.25</v>
      </c>
      <c r="H87" s="98">
        <f>Table1[[#This Row],[Post 2030 TP Permit Limit (mg/l)]]*0.9</f>
        <v>0.22500000000000001</v>
      </c>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row>
    <row r="88" spans="2:33" ht="12.95">
      <c r="B88" s="81" t="s">
        <v>463</v>
      </c>
      <c r="C88" s="315">
        <v>5</v>
      </c>
      <c r="D88" s="76">
        <f>Table1[[#This Row],[2023 TP Permit limit (mg/l)]]</f>
        <v>5</v>
      </c>
      <c r="E88" s="316">
        <v>5</v>
      </c>
      <c r="F88" s="76">
        <f>Table1[[#This Row],[Post 2025 TP Permit limit (mg/l)]]</f>
        <v>5</v>
      </c>
      <c r="G88" s="316">
        <f>Table1[[#This Row],[Post 2025 TP Permit limit (mg/l)]]</f>
        <v>5</v>
      </c>
      <c r="H88" s="98">
        <f>Table1[[#This Row],[Post 2030 TP Permit Limit (mg/l)]]</f>
        <v>5</v>
      </c>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row>
    <row r="89" spans="2:33" ht="12.95">
      <c r="B89" s="81" t="s">
        <v>464</v>
      </c>
      <c r="C89" s="315">
        <v>5</v>
      </c>
      <c r="D89" s="76">
        <f>Table1[[#This Row],[2023 TP Permit limit (mg/l)]]</f>
        <v>5</v>
      </c>
      <c r="E89" s="319">
        <v>5</v>
      </c>
      <c r="F89" s="76">
        <f>Table1[[#This Row],[Post 2025 TP Permit limit (mg/l)]]</f>
        <v>5</v>
      </c>
      <c r="G89" s="316">
        <f>Table1[[#This Row],[Post 2025 TP Permit limit (mg/l)]]</f>
        <v>5</v>
      </c>
      <c r="H89" s="98">
        <f>Table1[[#This Row],[Post 2030 TP Permit Limit (mg/l)]]</f>
        <v>5</v>
      </c>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row>
    <row r="90" spans="2:33" ht="12.95">
      <c r="B90" s="106" t="s">
        <v>465</v>
      </c>
      <c r="C90" s="323">
        <v>4.2699999999999996</v>
      </c>
      <c r="D90" s="76">
        <f>Table1[[#This Row],[2023 TP Permit limit (mg/l)]]</f>
        <v>4.2699999999999996</v>
      </c>
      <c r="E90" s="324">
        <v>4.2699999999999996</v>
      </c>
      <c r="F90" s="294">
        <f>Table1[[#This Row],[Post 2025 TP Permit limit (mg/l)]]</f>
        <v>4.2699999999999996</v>
      </c>
      <c r="G90" s="288">
        <v>1</v>
      </c>
      <c r="H90" s="98">
        <f>Table1[[#This Row],[Post 2030 TP Permit Limit (mg/l)]]*0.9</f>
        <v>0.9</v>
      </c>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row>
    <row r="91" spans="2:33" ht="12.95">
      <c r="B91" s="261" t="s">
        <v>466</v>
      </c>
      <c r="C91" s="321">
        <v>4.55</v>
      </c>
      <c r="D91" s="76">
        <f>Table1[[#This Row],[2023 TP Permit limit (mg/l)]]</f>
        <v>4.55</v>
      </c>
      <c r="E91" s="288">
        <v>1</v>
      </c>
      <c r="F91" s="76">
        <f>Table1[[#This Row],[Post 2025 TP Permit limit (mg/l)]]*0.9</f>
        <v>0.9</v>
      </c>
      <c r="G91" s="288">
        <v>0.25</v>
      </c>
      <c r="H91" s="98">
        <f>Table1[[#This Row],[Post 2030 TP Permit Limit (mg/l)]]*0.9</f>
        <v>0.22500000000000001</v>
      </c>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row>
    <row r="92" spans="2:33" ht="12.95">
      <c r="B92" s="261" t="s">
        <v>467</v>
      </c>
      <c r="C92" s="315">
        <v>5</v>
      </c>
      <c r="D92" s="76">
        <f>Table1[[#This Row],[2023 TP Permit limit (mg/l)]]</f>
        <v>5</v>
      </c>
      <c r="E92" s="316">
        <v>5</v>
      </c>
      <c r="F92" s="76">
        <f>Table1[[#This Row],[Post 2025 TP Permit limit (mg/l)]]</f>
        <v>5</v>
      </c>
      <c r="G92" s="316">
        <f>Table1[[#This Row],[Post 2025 TP Permit limit (mg/l)]]</f>
        <v>5</v>
      </c>
      <c r="H92" s="98">
        <f>Table1[[#This Row],[Post 2030 TP Permit Limit (mg/l)]]</f>
        <v>5</v>
      </c>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row>
    <row r="93" spans="2:33" ht="12.95">
      <c r="B93" s="261" t="s">
        <v>468</v>
      </c>
      <c r="C93" s="287">
        <v>2.5</v>
      </c>
      <c r="D93" s="76">
        <f>Table1[[#This Row],[2023 TP Permit limit (mg/l)]]*0.9</f>
        <v>2.25</v>
      </c>
      <c r="E93" s="288">
        <v>1</v>
      </c>
      <c r="F93" s="76">
        <f>Table1[[#This Row],[Post 2025 TP Permit limit (mg/l)]]*0.9</f>
        <v>0.9</v>
      </c>
      <c r="G93" s="288">
        <v>1</v>
      </c>
      <c r="H93" s="98">
        <f>Table1[[#This Row],[Post 2030 TP Permit Limit (mg/l)]]*0.9</f>
        <v>0.9</v>
      </c>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row>
    <row r="94" spans="2:33" ht="12.95">
      <c r="B94" s="261" t="s">
        <v>469</v>
      </c>
      <c r="C94" s="321">
        <v>6.31</v>
      </c>
      <c r="D94" s="76">
        <f>Table1[[#This Row],[2023 TP Permit limit (mg/l)]]</f>
        <v>6.31</v>
      </c>
      <c r="E94" s="322">
        <v>6.31</v>
      </c>
      <c r="F94" s="76">
        <f>Table1[[#This Row],[Post 2025 TP Permit limit (mg/l)]]</f>
        <v>6.31</v>
      </c>
      <c r="G94" s="322">
        <f>Table1[[#This Row],[Post 2025 TP Permit limit (mg/l)]]</f>
        <v>6.31</v>
      </c>
      <c r="H94" s="98">
        <f>Table1[[#This Row],[Post 2030 TP Permit Limit (mg/l)]]</f>
        <v>6.31</v>
      </c>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row>
    <row r="95" spans="2:33" ht="12.95">
      <c r="B95" s="261" t="s">
        <v>470</v>
      </c>
      <c r="C95" s="315">
        <v>5</v>
      </c>
      <c r="D95" s="76">
        <f>Table1[[#This Row],[2023 TP Permit limit (mg/l)]]</f>
        <v>5</v>
      </c>
      <c r="E95" s="316">
        <v>5</v>
      </c>
      <c r="F95" s="76">
        <f>Table1[[#This Row],[Post 2025 TP Permit limit (mg/l)]]</f>
        <v>5</v>
      </c>
      <c r="G95" s="316">
        <f>Table1[[#This Row],[Post 2025 TP Permit limit (mg/l)]]</f>
        <v>5</v>
      </c>
      <c r="H95" s="98">
        <f>Table1[[#This Row],[Post 2030 TP Permit Limit (mg/l)]]</f>
        <v>5</v>
      </c>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row>
    <row r="96" spans="2:33" ht="12.95">
      <c r="B96" s="261" t="s">
        <v>471</v>
      </c>
      <c r="C96" s="315">
        <v>5</v>
      </c>
      <c r="D96" s="76">
        <f>Table1[[#This Row],[2023 TP Permit limit (mg/l)]]</f>
        <v>5</v>
      </c>
      <c r="E96" s="316">
        <v>5</v>
      </c>
      <c r="F96" s="76">
        <f>Table1[[#This Row],[Post 2025 TP Permit limit (mg/l)]]</f>
        <v>5</v>
      </c>
      <c r="G96" s="316">
        <f>Table1[[#This Row],[Post 2025 TP Permit limit (mg/l)]]</f>
        <v>5</v>
      </c>
      <c r="H96" s="98">
        <f>Table1[[#This Row],[Post 2030 TP Permit Limit (mg/l)]]</f>
        <v>5</v>
      </c>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row>
    <row r="97" spans="2:33" ht="12.95">
      <c r="B97" s="261" t="s">
        <v>472</v>
      </c>
      <c r="C97" s="287">
        <v>1</v>
      </c>
      <c r="D97" s="76">
        <f>Table1[[#This Row],[2023 TP Permit limit (mg/l)]]*0.9</f>
        <v>0.9</v>
      </c>
      <c r="E97" s="312">
        <v>0.7</v>
      </c>
      <c r="F97" s="76">
        <f>Table1[[#This Row],[Post 2025 TP Permit limit (mg/l)]]*0.9</f>
        <v>0.63</v>
      </c>
      <c r="G97" s="288">
        <v>0.25</v>
      </c>
      <c r="H97" s="98">
        <f>Table1[[#This Row],[Post 2030 TP Permit Limit (mg/l)]]*0.9</f>
        <v>0.22500000000000001</v>
      </c>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row>
    <row r="98" spans="2:33" ht="12.95">
      <c r="B98" s="261" t="s">
        <v>473</v>
      </c>
      <c r="C98" s="315">
        <v>5</v>
      </c>
      <c r="D98" s="76">
        <f>Table1[[#This Row],[2023 TP Permit limit (mg/l)]]</f>
        <v>5</v>
      </c>
      <c r="E98" s="316">
        <v>5</v>
      </c>
      <c r="F98" s="76">
        <f>Table1[[#This Row],[Post 2025 TP Permit limit (mg/l)]]</f>
        <v>5</v>
      </c>
      <c r="G98" s="316">
        <f>Table1[[#This Row],[Post 2025 TP Permit limit (mg/l)]]</f>
        <v>5</v>
      </c>
      <c r="H98" s="98">
        <f>Table1[[#This Row],[Post 2030 TP Permit Limit (mg/l)]]</f>
        <v>5</v>
      </c>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row>
    <row r="99" spans="2:33" ht="12.95">
      <c r="B99" s="261" t="s">
        <v>474</v>
      </c>
      <c r="C99" s="287">
        <v>2</v>
      </c>
      <c r="D99" s="76">
        <f>Table1[[#This Row],[2023 TP Permit limit (mg/l)]]*0.9</f>
        <v>1.8</v>
      </c>
      <c r="E99" s="288">
        <v>1.5</v>
      </c>
      <c r="F99" s="76">
        <f>Table1[[#This Row],[Post 2025 TP Permit limit (mg/l)]]*0.9</f>
        <v>1.35</v>
      </c>
      <c r="G99" s="288">
        <v>0.25</v>
      </c>
      <c r="H99" s="98">
        <f>Table1[[#This Row],[Post 2030 TP Permit Limit (mg/l)]]*0.9</f>
        <v>0.22500000000000001</v>
      </c>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row>
    <row r="100" spans="2:33" ht="12.95">
      <c r="B100" s="261" t="s">
        <v>475</v>
      </c>
      <c r="C100" s="321">
        <v>5.31</v>
      </c>
      <c r="D100" s="76">
        <f>Table1[[#This Row],[2023 TP Permit limit (mg/l)]]</f>
        <v>5.31</v>
      </c>
      <c r="E100" s="322">
        <v>5.31</v>
      </c>
      <c r="F100" s="76">
        <f>Table1[[#This Row],[Post 2025 TP Permit limit (mg/l)]]</f>
        <v>5.31</v>
      </c>
      <c r="G100" s="288">
        <v>0.25</v>
      </c>
      <c r="H100" s="98">
        <f>Table1[[#This Row],[Post 2030 TP Permit Limit (mg/l)]]*0.9</f>
        <v>0.22500000000000001</v>
      </c>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row>
    <row r="101" spans="2:33" ht="12.95">
      <c r="B101" s="261" t="s">
        <v>476</v>
      </c>
      <c r="C101" s="321">
        <v>4.1900000000000004</v>
      </c>
      <c r="D101" s="76">
        <f>Table1[[#This Row],[2023 TP Permit limit (mg/l)]]</f>
        <v>4.1900000000000004</v>
      </c>
      <c r="E101" s="322">
        <v>4.1900000000000004</v>
      </c>
      <c r="F101" s="76">
        <f>Table1[[#This Row],[Post 2025 TP Permit limit (mg/l)]]</f>
        <v>4.1900000000000004</v>
      </c>
      <c r="G101" s="288">
        <v>1</v>
      </c>
      <c r="H101" s="98">
        <f>Table1[[#This Row],[Post 2030 TP Permit Limit (mg/l)]]*0.9</f>
        <v>0.9</v>
      </c>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row>
    <row r="102" spans="2:33" ht="12.95">
      <c r="B102" s="261" t="s">
        <v>477</v>
      </c>
      <c r="C102" s="315">
        <v>5</v>
      </c>
      <c r="D102" s="76">
        <f>Table1[[#This Row],[2023 TP Permit limit (mg/l)]]</f>
        <v>5</v>
      </c>
      <c r="E102" s="316">
        <v>5</v>
      </c>
      <c r="F102" s="76">
        <f>Table1[[#This Row],[Post 2025 TP Permit limit (mg/l)]]</f>
        <v>5</v>
      </c>
      <c r="G102" s="316">
        <f>Table1[[#This Row],[Post 2025 TP Permit limit (mg/l)]]</f>
        <v>5</v>
      </c>
      <c r="H102" s="98">
        <f>Table1[[#This Row],[Post 2030 TP Permit Limit (mg/l)]]</f>
        <v>5</v>
      </c>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row>
    <row r="103" spans="2:33" ht="12.95">
      <c r="B103" s="261" t="s">
        <v>478</v>
      </c>
      <c r="C103" s="315">
        <v>5</v>
      </c>
      <c r="D103" s="76">
        <f>Table1[[#This Row],[2023 TP Permit limit (mg/l)]]</f>
        <v>5</v>
      </c>
      <c r="E103" s="316">
        <v>5</v>
      </c>
      <c r="F103" s="76">
        <f>Table1[[#This Row],[Post 2025 TP Permit limit (mg/l)]]</f>
        <v>5</v>
      </c>
      <c r="G103" s="316">
        <f>Table1[[#This Row],[Post 2025 TP Permit limit (mg/l)]]</f>
        <v>5</v>
      </c>
      <c r="H103" s="98">
        <f>Table1[[#This Row],[Post 2030 TP Permit Limit (mg/l)]]</f>
        <v>5</v>
      </c>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row>
    <row r="104" spans="2:33" ht="12.95">
      <c r="B104" s="261" t="s">
        <v>479</v>
      </c>
      <c r="C104" s="315">
        <v>5</v>
      </c>
      <c r="D104" s="76">
        <f>Table1[[#This Row],[2023 TP Permit limit (mg/l)]]</f>
        <v>5</v>
      </c>
      <c r="E104" s="316">
        <v>5</v>
      </c>
      <c r="F104" s="76">
        <f>Table1[[#This Row],[Post 2025 TP Permit limit (mg/l)]]</f>
        <v>5</v>
      </c>
      <c r="G104" s="316">
        <f>Table1[[#This Row],[Post 2025 TP Permit limit (mg/l)]]</f>
        <v>5</v>
      </c>
      <c r="H104" s="98">
        <f>Table1[[#This Row],[Post 2030 TP Permit Limit (mg/l)]]</f>
        <v>5</v>
      </c>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row>
    <row r="105" spans="2:33" ht="12.95">
      <c r="B105" s="261" t="s">
        <v>480</v>
      </c>
      <c r="C105" s="286">
        <v>0</v>
      </c>
      <c r="D105" s="76">
        <f>Table1[[#This Row],[2023 TP Permit limit (mg/l)]]</f>
        <v>0</v>
      </c>
      <c r="E105" s="285">
        <v>0</v>
      </c>
      <c r="F105" s="76">
        <f>Table1[[#This Row],[Post 2025 TP Permit limit (mg/l)]]</f>
        <v>0</v>
      </c>
      <c r="G105" s="99">
        <f>Table1[[#This Row],[Post 2025 TP Permit limit (mg/l)]]</f>
        <v>0</v>
      </c>
      <c r="H105" s="98">
        <f>Table1[[#This Row],[Post 2030 TP Permit Limit (mg/l)]]</f>
        <v>0</v>
      </c>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row>
    <row r="106" spans="2:33" ht="12.95">
      <c r="B106" s="261" t="s">
        <v>481</v>
      </c>
      <c r="C106" s="287">
        <v>2</v>
      </c>
      <c r="D106" s="76">
        <f>Table1[[#This Row],[2023 TP Permit limit (mg/l)]]*0.9</f>
        <v>1.8</v>
      </c>
      <c r="E106" s="288">
        <v>1</v>
      </c>
      <c r="F106" s="76">
        <f>Table1[[#This Row],[Post 2025 TP Permit limit (mg/l)]]*0.9</f>
        <v>0.9</v>
      </c>
      <c r="G106" s="288">
        <v>0.25</v>
      </c>
      <c r="H106" s="98">
        <f>Table1[[#This Row],[Post 2030 TP Permit Limit (mg/l)]]*0.9</f>
        <v>0.22500000000000001</v>
      </c>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row>
    <row r="107" spans="2:33" ht="12.95">
      <c r="B107" s="261" t="s">
        <v>482</v>
      </c>
      <c r="C107" s="287">
        <v>2</v>
      </c>
      <c r="D107" s="76">
        <f>Table1[[#This Row],[2023 TP Permit limit (mg/l)]]*0.9</f>
        <v>1.8</v>
      </c>
      <c r="E107" s="330">
        <v>0.8</v>
      </c>
      <c r="F107" s="76">
        <f>Table1[[#This Row],[Post 2025 TP Permit limit (mg/l)]]*0.9</f>
        <v>0.72000000000000008</v>
      </c>
      <c r="G107" s="288">
        <v>0.25</v>
      </c>
      <c r="H107" s="98">
        <f>Table1[[#This Row],[Post 2030 TP Permit Limit (mg/l)]]*0.9</f>
        <v>0.22500000000000001</v>
      </c>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row>
    <row r="108" spans="2:33" ht="12.95">
      <c r="B108" s="261" t="s">
        <v>483</v>
      </c>
      <c r="C108" s="315">
        <v>5</v>
      </c>
      <c r="D108" s="76">
        <f>Table1[[#This Row],[2023 TP Permit limit (mg/l)]]</f>
        <v>5</v>
      </c>
      <c r="E108" s="316">
        <v>5</v>
      </c>
      <c r="F108" s="76">
        <f>Table1[[#This Row],[Post 2025 TP Permit limit (mg/l)]]</f>
        <v>5</v>
      </c>
      <c r="G108" s="316">
        <f>Table1[[#This Row],[Post 2025 TP Permit limit (mg/l)]]</f>
        <v>5</v>
      </c>
      <c r="H108" s="98">
        <f>Table1[[#This Row],[Post 2030 TP Permit Limit (mg/l)]]</f>
        <v>5</v>
      </c>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row>
    <row r="109" spans="2:33" ht="12.95">
      <c r="B109" s="261" t="s">
        <v>484</v>
      </c>
      <c r="C109" s="315">
        <v>5</v>
      </c>
      <c r="D109" s="76">
        <f>Table1[[#This Row],[2023 TP Permit limit (mg/l)]]</f>
        <v>5</v>
      </c>
      <c r="E109" s="316">
        <v>5</v>
      </c>
      <c r="F109" s="76">
        <f>Table1[[#This Row],[Post 2025 TP Permit limit (mg/l)]]</f>
        <v>5</v>
      </c>
      <c r="G109" s="316">
        <f>Table1[[#This Row],[Post 2025 TP Permit limit (mg/l)]]</f>
        <v>5</v>
      </c>
      <c r="H109" s="98">
        <f>Table1[[#This Row],[Post 2030 TP Permit Limit (mg/l)]]</f>
        <v>5</v>
      </c>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row>
    <row r="110" spans="2:33" ht="12.95">
      <c r="B110" s="261" t="s">
        <v>485</v>
      </c>
      <c r="C110" s="286">
        <v>0</v>
      </c>
      <c r="D110" s="76">
        <f>Table1[[#This Row],[2023 TP Permit limit (mg/l)]]</f>
        <v>0</v>
      </c>
      <c r="E110" s="285">
        <v>0</v>
      </c>
      <c r="F110" s="76">
        <f>Table1[[#This Row],[Post 2025 TP Permit limit (mg/l)]]</f>
        <v>0</v>
      </c>
      <c r="G110" s="99">
        <f>Table1[[#This Row],[Post 2025 TP Permit limit (mg/l)]]</f>
        <v>0</v>
      </c>
      <c r="H110" s="98">
        <f>Table1[[#This Row],[Post 2030 TP Permit Limit (mg/l)]]</f>
        <v>0</v>
      </c>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row>
    <row r="111" spans="2:33" ht="12.95">
      <c r="B111" s="261" t="s">
        <v>486</v>
      </c>
      <c r="C111" s="315">
        <v>5</v>
      </c>
      <c r="D111" s="76">
        <f>Table1[[#This Row],[2023 TP Permit limit (mg/l)]]</f>
        <v>5</v>
      </c>
      <c r="E111" s="316">
        <v>5</v>
      </c>
      <c r="F111" s="76">
        <f>Table1[[#This Row],[Post 2025 TP Permit limit (mg/l)]]</f>
        <v>5</v>
      </c>
      <c r="G111" s="316">
        <f>Table1[[#This Row],[Post 2025 TP Permit limit (mg/l)]]</f>
        <v>5</v>
      </c>
      <c r="H111" s="98">
        <f>Table1[[#This Row],[Post 2030 TP Permit Limit (mg/l)]]</f>
        <v>5</v>
      </c>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row>
    <row r="112" spans="2:33" ht="12.95">
      <c r="B112" s="261" t="s">
        <v>487</v>
      </c>
      <c r="C112" s="315">
        <v>5</v>
      </c>
      <c r="D112" s="76">
        <f>Table1[[#This Row],[2023 TP Permit limit (mg/l)]]</f>
        <v>5</v>
      </c>
      <c r="E112" s="316">
        <v>5</v>
      </c>
      <c r="F112" s="76">
        <f>Table1[[#This Row],[Post 2025 TP Permit limit (mg/l)]]</f>
        <v>5</v>
      </c>
      <c r="G112" s="316">
        <f>Table1[[#This Row],[Post 2025 TP Permit limit (mg/l)]]</f>
        <v>5</v>
      </c>
      <c r="H112" s="98">
        <f>Table1[[#This Row],[Post 2030 TP Permit Limit (mg/l)]]</f>
        <v>5</v>
      </c>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row>
    <row r="113" spans="2:33" ht="12.95">
      <c r="B113" s="261" t="s">
        <v>488</v>
      </c>
      <c r="C113" s="315">
        <v>5</v>
      </c>
      <c r="D113" s="76">
        <f>Table1[[#This Row],[2023 TP Permit limit (mg/l)]]</f>
        <v>5</v>
      </c>
      <c r="E113" s="316">
        <v>5</v>
      </c>
      <c r="F113" s="76">
        <f>Table1[[#This Row],[Post 2025 TP Permit limit (mg/l)]]</f>
        <v>5</v>
      </c>
      <c r="G113" s="316">
        <f>Table1[[#This Row],[Post 2025 TP Permit limit (mg/l)]]</f>
        <v>5</v>
      </c>
      <c r="H113" s="98">
        <f>Table1[[#This Row],[Post 2030 TP Permit Limit (mg/l)]]</f>
        <v>5</v>
      </c>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row>
    <row r="114" spans="2:33" ht="12.95">
      <c r="B114" s="261" t="s">
        <v>489</v>
      </c>
      <c r="C114" s="286">
        <v>0</v>
      </c>
      <c r="D114" s="76">
        <f>Table1[[#This Row],[2023 TP Permit limit (mg/l)]]</f>
        <v>0</v>
      </c>
      <c r="E114" s="285">
        <v>0</v>
      </c>
      <c r="F114" s="76">
        <f>Table1[[#This Row],[Post 2025 TP Permit limit (mg/l)]]</f>
        <v>0</v>
      </c>
      <c r="G114" s="99">
        <f>Table1[[#This Row],[Post 2025 TP Permit limit (mg/l)]]</f>
        <v>0</v>
      </c>
      <c r="H114" s="98">
        <f>Table1[[#This Row],[Post 2030 TP Permit Limit (mg/l)]]</f>
        <v>0</v>
      </c>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row>
    <row r="115" spans="2:33" ht="12.95">
      <c r="B115" s="261" t="s">
        <v>490</v>
      </c>
      <c r="C115" s="321">
        <v>1.63</v>
      </c>
      <c r="D115" s="76">
        <f>Table1[[#This Row],[2023 TP Permit limit (mg/l)]]</f>
        <v>1.63</v>
      </c>
      <c r="E115" s="288">
        <v>1</v>
      </c>
      <c r="F115" s="76">
        <f>Table1[[#This Row],[Post 2025 TP Permit limit (mg/l)]]*0.9</f>
        <v>0.9</v>
      </c>
      <c r="G115" s="288">
        <v>1</v>
      </c>
      <c r="H115" s="98">
        <f>Table1[[#This Row],[Post 2030 TP Permit Limit (mg/l)]]*0.9</f>
        <v>0.9</v>
      </c>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row>
    <row r="116" spans="2:33" ht="12.95">
      <c r="B116" s="261" t="s">
        <v>491</v>
      </c>
      <c r="C116" s="321">
        <v>2.67</v>
      </c>
      <c r="D116" s="76">
        <f>Table1[[#This Row],[2023 TP Permit limit (mg/l)]]</f>
        <v>2.67</v>
      </c>
      <c r="E116" s="288">
        <v>1</v>
      </c>
      <c r="F116" s="76">
        <f>Table1[[#This Row],[Post 2025 TP Permit limit (mg/l)]]*0.9</f>
        <v>0.9</v>
      </c>
      <c r="G116" s="288">
        <v>1</v>
      </c>
      <c r="H116" s="98">
        <f>Table1[[#This Row],[Post 2030 TP Permit Limit (mg/l)]]*0.9</f>
        <v>0.9</v>
      </c>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row>
    <row r="117" spans="2:33" ht="12.95">
      <c r="B117" s="261" t="s">
        <v>492</v>
      </c>
      <c r="C117" s="315">
        <v>5</v>
      </c>
      <c r="D117" s="76">
        <f>Table1[[#This Row],[2023 TP Permit limit (mg/l)]]</f>
        <v>5</v>
      </c>
      <c r="E117" s="316">
        <v>5</v>
      </c>
      <c r="F117" s="76">
        <f>Table1[[#This Row],[Post 2025 TP Permit limit (mg/l)]]</f>
        <v>5</v>
      </c>
      <c r="G117" s="288">
        <v>1.5</v>
      </c>
      <c r="H117" s="98">
        <f>Table1[[#This Row],[Post 2030 TP Permit Limit (mg/l)]]*0.9</f>
        <v>1.35</v>
      </c>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row>
    <row r="118" spans="2:33" ht="12.95">
      <c r="B118" s="261" t="s">
        <v>493</v>
      </c>
      <c r="C118" s="315">
        <v>5</v>
      </c>
      <c r="D118" s="76">
        <f>Table1[[#This Row],[2023 TP Permit limit (mg/l)]]</f>
        <v>5</v>
      </c>
      <c r="E118" s="316">
        <v>5</v>
      </c>
      <c r="F118" s="76">
        <f>Table1[[#This Row],[Post 2025 TP Permit limit (mg/l)]]</f>
        <v>5</v>
      </c>
      <c r="G118" s="316">
        <f>Table1[[#This Row],[Post 2025 TP Permit limit (mg/l)]]</f>
        <v>5</v>
      </c>
      <c r="H118" s="98">
        <f>Table1[[#This Row],[Post 2030 TP Permit Limit (mg/l)]]</f>
        <v>5</v>
      </c>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row>
    <row r="119" spans="2:33" ht="12.95">
      <c r="B119" s="261" t="s">
        <v>494</v>
      </c>
      <c r="C119" s="315">
        <v>5</v>
      </c>
      <c r="D119" s="76">
        <f>Table1[[#This Row],[2023 TP Permit limit (mg/l)]]</f>
        <v>5</v>
      </c>
      <c r="E119" s="316">
        <v>5</v>
      </c>
      <c r="F119" s="76">
        <f>Table1[[#This Row],[Post 2025 TP Permit limit (mg/l)]]</f>
        <v>5</v>
      </c>
      <c r="G119" s="316">
        <f>Table1[[#This Row],[Post 2025 TP Permit limit (mg/l)]]</f>
        <v>5</v>
      </c>
      <c r="H119" s="98">
        <f>Table1[[#This Row],[Post 2030 TP Permit Limit (mg/l)]]</f>
        <v>5</v>
      </c>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row>
    <row r="120" spans="2:33" ht="12.95">
      <c r="B120" s="261" t="s">
        <v>495</v>
      </c>
      <c r="C120" s="287">
        <v>2</v>
      </c>
      <c r="D120" s="76">
        <f>Table1[[#This Row],[2023 TP Permit limit (mg/l)]]*0.9</f>
        <v>1.8</v>
      </c>
      <c r="E120" s="288">
        <v>0.59</v>
      </c>
      <c r="F120" s="76">
        <f>Table1[[#This Row],[Post 2025 TP Permit limit (mg/l)]]*0.9</f>
        <v>0.53100000000000003</v>
      </c>
      <c r="G120" s="288">
        <v>0.25</v>
      </c>
      <c r="H120" s="98">
        <f>Table1[[#This Row],[Post 2030 TP Permit Limit (mg/l)]]*0.9</f>
        <v>0.22500000000000001</v>
      </c>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row>
    <row r="121" spans="2:33" ht="12.95">
      <c r="B121" s="314" t="s">
        <v>496</v>
      </c>
      <c r="C121" s="323">
        <v>5.92</v>
      </c>
      <c r="D121" s="294">
        <f>Table1[[#This Row],[2023 TP Permit limit (mg/l)]]</f>
        <v>5.92</v>
      </c>
      <c r="E121" s="338">
        <v>1</v>
      </c>
      <c r="F121" s="294">
        <f>Table1[[#This Row],[Post 2025 TP Permit limit (mg/l)]]*0.9</f>
        <v>0.9</v>
      </c>
      <c r="G121" s="338">
        <v>1</v>
      </c>
      <c r="H121" s="320">
        <f>Table1[[#This Row],[Post 2030 TP Permit Limit (mg/l)]]*0.9</f>
        <v>0.9</v>
      </c>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row>
    <row r="122" spans="2:33" ht="12.95">
      <c r="B122" s="100"/>
      <c r="C122" s="249"/>
      <c r="D122" s="313"/>
      <c r="E122" s="251"/>
      <c r="F122" s="313"/>
      <c r="G122" s="251"/>
      <c r="H122" s="251"/>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row>
    <row r="123" spans="2:33" ht="12.95">
      <c r="B123" s="100"/>
      <c r="C123" s="249"/>
      <c r="D123" s="250"/>
      <c r="E123" s="251"/>
      <c r="F123" s="250"/>
      <c r="G123" s="251"/>
      <c r="H123" s="251"/>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row>
    <row r="124" spans="2:33" ht="12.95">
      <c r="B124" s="100"/>
      <c r="C124" s="289"/>
      <c r="D124" s="90" t="s">
        <v>497</v>
      </c>
      <c r="E124" s="90"/>
      <c r="F124" s="90"/>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row>
    <row r="125" spans="2:33" ht="12.95">
      <c r="B125" s="100"/>
      <c r="C125" s="290"/>
      <c r="D125" s="90" t="s">
        <v>498</v>
      </c>
      <c r="E125" s="90"/>
      <c r="F125" s="90"/>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row>
    <row r="126" spans="2:33" ht="12.95">
      <c r="B126" s="38"/>
      <c r="C126" s="291"/>
      <c r="D126" s="293" t="s">
        <v>499</v>
      </c>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row>
    <row r="127" spans="2:33" ht="12.95">
      <c r="B127" s="38"/>
      <c r="C127" s="292"/>
      <c r="D127" s="293" t="s">
        <v>500</v>
      </c>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row>
    <row r="128" spans="2:33" ht="12.95">
      <c r="B128" s="38"/>
      <c r="C128" s="332"/>
      <c r="D128" s="38" t="s">
        <v>501</v>
      </c>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row>
    <row r="129" spans="2:33" ht="12.95">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row>
    <row r="130" spans="2:33" ht="12.95">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row>
    <row r="131" spans="2:33" ht="12.95">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row>
    <row r="132" spans="2:33" ht="12.95">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row>
    <row r="133" spans="2:33" ht="12.95">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row>
    <row r="134" spans="2:33" ht="12.95">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row>
    <row r="135" spans="2:33" ht="12.95">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row>
    <row r="136" spans="2:33" ht="12.95">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row>
    <row r="137" spans="2:33" ht="12.95">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row>
    <row r="138" spans="2:33" ht="12.95">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row>
    <row r="139" spans="2:33" ht="12.95">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row>
    <row r="140" spans="2:33" ht="12.95">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row>
    <row r="141" spans="2:33" ht="12.95">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row>
    <row r="142" spans="2:33" ht="12.95">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row>
    <row r="143" spans="2:33" ht="12.95">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row>
    <row r="144" spans="2:33" ht="12.95">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row>
    <row r="145" spans="2:33" ht="12.95">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row>
    <row r="146" spans="2:33" ht="12.95">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row>
    <row r="147" spans="2:33" ht="12.95">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row>
    <row r="148" spans="2:33" ht="12.95">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row>
    <row r="149" spans="2:33" ht="12.95">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row>
    <row r="150" spans="2:33" ht="12.95">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row>
    <row r="151" spans="2:33" ht="12.95">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row>
    <row r="152" spans="2:33" ht="12.95">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row>
    <row r="153" spans="2:33" ht="12.95">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row>
    <row r="154" spans="2:33" ht="12.95">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row>
    <row r="155" spans="2:33" ht="12.95">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row>
    <row r="156" spans="2:33" ht="12.95">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row>
    <row r="157" spans="2:33" ht="12.95">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row>
    <row r="158" spans="2:33" ht="12.95">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row>
    <row r="159" spans="2:33" ht="12.95">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row>
    <row r="160" spans="2:33" ht="12.95">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row>
    <row r="161" spans="2:33" ht="12.95">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row>
    <row r="162" spans="2:33" ht="12.95">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row>
    <row r="163" spans="2:33" ht="12.95">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row>
    <row r="164" spans="2:33" ht="12.95">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row>
    <row r="165" spans="2:33" ht="12.95">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row>
    <row r="166" spans="2:33" ht="12.95">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row>
    <row r="167" spans="2:33" ht="12.95">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row>
    <row r="168" spans="2:33" ht="12.95">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row>
    <row r="169" spans="2:33" ht="12.95">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row>
    <row r="170" spans="2:33" ht="12.95">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row>
    <row r="171" spans="2:33" ht="12.95">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row>
    <row r="172" spans="2:33" ht="12.95">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row>
    <row r="173" spans="2:33" ht="12.95">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row>
    <row r="174" spans="2:33" ht="12.95">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row>
    <row r="175" spans="2:33" ht="12.95">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row>
    <row r="176" spans="2:33" ht="12.95">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row>
    <row r="177" spans="2:33" ht="12.95">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row>
    <row r="178" spans="2:33" ht="12.95">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row>
    <row r="179" spans="2:33" ht="12.95">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row>
    <row r="180" spans="2:33" ht="12.95">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row>
    <row r="181" spans="2:33" ht="12.95">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row>
    <row r="182" spans="2:33" ht="12.95">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row>
    <row r="183" spans="2:33" ht="12.95">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row>
    <row r="184" spans="2:33" ht="12.95">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row>
    <row r="185" spans="2:33" ht="12.95">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row>
    <row r="186" spans="2:33" ht="12.95">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row>
    <row r="187" spans="2:33" ht="12.95">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row>
    <row r="188" spans="2:33" ht="12.95">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row>
    <row r="189" spans="2:33" ht="12.95">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row>
    <row r="190" spans="2:33" ht="12.95">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row>
    <row r="191" spans="2:33" ht="12.95">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row>
    <row r="192" spans="2:33" ht="12.95">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row>
    <row r="193" spans="2:33" ht="12.95">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row>
    <row r="194" spans="2:33" ht="12.95">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row>
    <row r="195" spans="2:33" ht="12.95">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row>
    <row r="196" spans="2:33" ht="12.95">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row>
    <row r="197" spans="2:33" ht="12.95">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row>
    <row r="198" spans="2:33" ht="12.95">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row>
    <row r="199" spans="2:33" ht="12.95">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row>
    <row r="200" spans="2:33" ht="12.95">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row>
    <row r="201" spans="2:33" ht="12.95">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row>
    <row r="202" spans="2:33" ht="12.95">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row>
    <row r="203" spans="2:33" ht="12.95">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row>
    <row r="204" spans="2:33" ht="12.95">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2:33" ht="12.95">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2:33" ht="12.95">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row r="207" spans="2:33" ht="12.95">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row>
    <row r="208" spans="2:33" ht="12.95">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row>
    <row r="209" spans="2:33" ht="12.95">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row>
    <row r="210" spans="2:33" ht="12.95">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row>
    <row r="211" spans="2:33" ht="12.95">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row>
    <row r="212" spans="2:33" ht="12.95">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row>
    <row r="213" spans="2:33" ht="12.95">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row>
    <row r="214" spans="2:33" ht="12.95">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row>
    <row r="215" spans="2:33" ht="12.95">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row>
    <row r="216" spans="2:33" ht="12.95">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row>
    <row r="217" spans="2:33" ht="12.95">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row>
    <row r="218" spans="2:33" ht="12.95">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row>
    <row r="219" spans="2:33" ht="12.95">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row>
    <row r="220" spans="2:33" ht="12.95">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row>
    <row r="221" spans="2:33" ht="12.95">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row>
    <row r="222" spans="2:33" ht="12.95">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row>
    <row r="223" spans="2:33" ht="12.95">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row>
    <row r="224" spans="2:33" ht="12.95">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row>
    <row r="225" spans="2:33" ht="12.95">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row>
    <row r="226" spans="2:33" ht="12.95">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row>
    <row r="227" spans="2:33" ht="12.95">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row>
    <row r="228" spans="2:33" ht="12.95">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row>
    <row r="229" spans="2:33" ht="12.95">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row>
    <row r="230" spans="2:33" ht="12.95">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row>
    <row r="231" spans="2:33" ht="12.95">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row>
    <row r="232" spans="2:33" ht="12.95">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row>
    <row r="233" spans="2:33" ht="12.95">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row>
    <row r="234" spans="2:33" ht="12.95">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row>
    <row r="235" spans="2:33" ht="12.95">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row>
    <row r="236" spans="2:33" ht="12.95">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row>
    <row r="237" spans="2:33" ht="12.95">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row>
    <row r="238" spans="2:33" ht="12.95">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row>
    <row r="239" spans="2:33" ht="12.95">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row>
    <row r="240" spans="2:33" ht="12.95">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row>
    <row r="241" spans="2:33" ht="12.95">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row>
    <row r="242" spans="2:33" ht="12.95">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row>
    <row r="243" spans="2:33" ht="12.95">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row>
    <row r="244" spans="2:33" ht="12.95">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row>
    <row r="245" spans="2:33" ht="12.95">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row>
    <row r="246" spans="2:33" ht="12.95">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row>
    <row r="247" spans="2:33" ht="12.95">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row>
    <row r="248" spans="2:33" ht="12.95">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row>
    <row r="249" spans="2:33" ht="12.95">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row>
    <row r="250" spans="2:33" ht="12.95">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row>
    <row r="251" spans="2:33" ht="12.95">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row>
    <row r="252" spans="2:33" ht="12.95">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row>
    <row r="253" spans="2:33" ht="12.95">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row>
    <row r="254" spans="2:33" ht="12.95">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row>
    <row r="255" spans="2:33" ht="12.95">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row>
    <row r="256" spans="2:33" ht="12.95">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row>
    <row r="257" spans="2:33" ht="12.95">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row>
    <row r="258" spans="2:33" ht="12.95">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row>
    <row r="259" spans="2:33" ht="12.95">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row>
    <row r="260" spans="2:33" ht="12.95">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row>
    <row r="261" spans="2:33" ht="12.95">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row>
    <row r="262" spans="2:33" ht="12.95">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row>
    <row r="263" spans="2:33" ht="12.95">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row>
    <row r="264" spans="2:33" ht="12.95">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row>
    <row r="265" spans="2:33" ht="12.95">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row>
    <row r="266" spans="2:33" ht="12.95">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row>
    <row r="267" spans="2:33" ht="12.95">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row>
    <row r="268" spans="2:33" ht="12.95">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row>
    <row r="269" spans="2:33" ht="12.95">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row>
    <row r="270" spans="2:33" ht="12.95">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row>
    <row r="271" spans="2:33" ht="12.95">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row>
    <row r="272" spans="2:33" ht="12.95">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row>
    <row r="273" spans="2:33" ht="12.95">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row>
    <row r="274" spans="2:33" ht="12.95">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row>
    <row r="275" spans="2:33" ht="12.95">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row>
    <row r="276" spans="2:33" ht="12.95">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row>
    <row r="277" spans="2:33" ht="12.95">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row>
    <row r="278" spans="2:33" ht="12.95">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row>
    <row r="279" spans="2:33" ht="12.95">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row>
    <row r="280" spans="2:33" ht="12.95">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row>
    <row r="281" spans="2:33" ht="12.95">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row>
    <row r="282" spans="2:33" ht="12.95">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row>
    <row r="283" spans="2:33" ht="12.95">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row>
    <row r="284" spans="2:33" ht="12.95">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row>
    <row r="285" spans="2:33" ht="12.95">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row>
    <row r="286" spans="2:33" ht="12.95">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row>
    <row r="287" spans="2:33" ht="12.95">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row>
    <row r="288" spans="2:33" ht="12.95">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row>
    <row r="289" spans="2:33" ht="12.95">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row>
    <row r="290" spans="2:33" ht="12.95">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row>
    <row r="291" spans="2:33" ht="12.95">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row>
    <row r="292" spans="2:33" ht="12.95">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row>
    <row r="293" spans="2:33" ht="12.95">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row>
    <row r="294" spans="2:33" ht="12.95">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row>
    <row r="295" spans="2:33" ht="12.95">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row>
    <row r="296" spans="2:33" ht="12.95">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row>
    <row r="297" spans="2:33" ht="12.95">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row>
    <row r="298" spans="2:33" ht="12.95">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row>
    <row r="299" spans="2:33" ht="12.95">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row>
    <row r="300" spans="2:33" ht="12.95">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row>
    <row r="301" spans="2:33" ht="12.95">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row>
    <row r="302" spans="2:33" ht="12.95">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row>
    <row r="303" spans="2:33" ht="12.95">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row>
    <row r="304" spans="2:33" ht="12.95">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row>
    <row r="305" spans="2:33" ht="12.95">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row>
    <row r="306" spans="2:33" ht="12.95">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row>
    <row r="307" spans="2:33" ht="12.95">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row>
    <row r="308" spans="2:33" ht="12.95">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row>
    <row r="309" spans="2:33" ht="12.95">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row>
    <row r="310" spans="2:33" ht="12.95">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row>
    <row r="311" spans="2:33" ht="12.95">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row>
    <row r="312" spans="2:33" ht="12.95">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row>
    <row r="313" spans="2:33" ht="12.95">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row>
    <row r="314" spans="2:33" ht="12.95">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row>
    <row r="315" spans="2:33" ht="12.95">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row>
    <row r="316" spans="2:33" ht="12.95">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row>
    <row r="317" spans="2:33" ht="12.95">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row>
    <row r="318" spans="2:33" ht="12.95">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row>
    <row r="319" spans="2:33" ht="12.95">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row>
    <row r="320" spans="2:33" ht="12.95">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row>
    <row r="321" spans="2:33" ht="12.95">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row>
    <row r="322" spans="2:33" ht="12.95">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row>
    <row r="323" spans="2:33" ht="12.95">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row>
    <row r="324" spans="2:33" ht="12.95">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row>
    <row r="325" spans="2:33" ht="12.95">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row>
    <row r="326" spans="2:33" ht="12.95">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row>
    <row r="327" spans="2:33" ht="12.95">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row>
    <row r="328" spans="2:33" ht="12.95">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row>
    <row r="329" spans="2:33" ht="12.95">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row>
    <row r="330" spans="2:33" ht="12.95">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row>
    <row r="331" spans="2:33" ht="12.95">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row>
    <row r="332" spans="2:33" ht="12.95">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row>
    <row r="333" spans="2:33" ht="12.95">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row>
    <row r="334" spans="2:33" ht="12.95">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row>
    <row r="335" spans="2:33" ht="12.95">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row>
    <row r="336" spans="2:33" ht="12.95">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row>
    <row r="337" spans="2:33" ht="12.95">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row>
    <row r="338" spans="2:33" ht="12.95">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row>
    <row r="339" spans="2:33" ht="12.95">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row>
    <row r="340" spans="2:33" ht="12.95">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row>
    <row r="341" spans="2:33" ht="12.95">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row>
    <row r="342" spans="2:33" ht="12.95">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row>
    <row r="343" spans="2:33" ht="12.95">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row>
    <row r="344" spans="2:33" ht="12.95">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row>
    <row r="345" spans="2:33" ht="12.95">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row>
    <row r="346" spans="2:33" ht="12.95">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row>
    <row r="347" spans="2:33" ht="12.95">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row>
    <row r="348" spans="2:33" ht="12.95">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row>
    <row r="349" spans="2:33" ht="12.95">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row>
    <row r="350" spans="2:33" ht="12.95">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row>
    <row r="351" spans="2:33" ht="12.95">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row>
    <row r="352" spans="2:33" ht="12.95">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row>
    <row r="353" spans="2:33" ht="12.95">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row>
    <row r="354" spans="2:33" ht="12.95">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row>
    <row r="355" spans="2:33" ht="12.95">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row>
    <row r="356" spans="2:33" ht="12.95">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row>
    <row r="357" spans="2:33" ht="12.95">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row>
    <row r="358" spans="2:33" ht="12.95">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row>
    <row r="359" spans="2:33" ht="12.95">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row>
    <row r="360" spans="2:33" ht="12.95">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row>
    <row r="361" spans="2:33" ht="12.95">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row>
    <row r="362" spans="2:33" ht="12.95">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row>
    <row r="363" spans="2:33" ht="12.95">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row>
    <row r="364" spans="2:33" ht="12.95">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row>
    <row r="365" spans="2:33" ht="12.95">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row>
    <row r="366" spans="2:33" ht="12.95">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row>
    <row r="367" spans="2:33" ht="12.95">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row>
    <row r="368" spans="2:33" ht="12.95">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row>
    <row r="369" spans="2:33" ht="12.95">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row>
    <row r="370" spans="2:33" ht="12.95">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row>
    <row r="371" spans="2:33" ht="12.95">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row>
    <row r="372" spans="2:33" ht="12.95">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row>
    <row r="373" spans="2:33" ht="12.95">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row>
    <row r="374" spans="2:33" ht="12.95">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row>
    <row r="375" spans="2:33" ht="12.95">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row>
    <row r="376" spans="2:33" ht="12.95">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row>
    <row r="377" spans="2:33" ht="12.95">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row>
    <row r="378" spans="2:33" ht="12.95">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row>
    <row r="379" spans="2:33" ht="12.95">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row>
    <row r="380" spans="2:33" ht="12.95">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row>
    <row r="381" spans="2:33" ht="12.95">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row>
    <row r="382" spans="2:33" ht="12.95">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row>
    <row r="383" spans="2:33" ht="12.95">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row>
    <row r="384" spans="2:33" ht="12.95">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row>
    <row r="385" spans="2:33" ht="12.95">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row>
    <row r="386" spans="2:33" ht="12.95">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row>
    <row r="387" spans="2:33" ht="12.95">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row>
    <row r="388" spans="2:33" ht="12.95">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row>
    <row r="389" spans="2:33" ht="12.95">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row>
    <row r="390" spans="2:33" ht="12.95">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row>
    <row r="391" spans="2:33" ht="12.95">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row>
    <row r="392" spans="2:33" ht="12.95">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row>
    <row r="393" spans="2:33" ht="12.95">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row>
    <row r="394" spans="2:33" ht="12.95">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row>
    <row r="395" spans="2:33" ht="12.95">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row>
    <row r="396" spans="2:33" ht="12.95">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row>
    <row r="397" spans="2:33" ht="12.95">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row>
    <row r="398" spans="2:33" ht="12.95">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row>
    <row r="399" spans="2:33" ht="12.95">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row>
    <row r="400" spans="2:33" ht="12.95">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row>
    <row r="401" spans="2:33" ht="12.95">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row>
    <row r="402" spans="2:33" ht="12.95">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row>
    <row r="403" spans="2:33" ht="12.95">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row>
    <row r="404" spans="2:33" ht="12.95">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row>
    <row r="405" spans="2:33" ht="12.95">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row>
    <row r="406" spans="2:33" ht="12.95">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row>
    <row r="407" spans="2:33" ht="12.95">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row>
    <row r="408" spans="2:33" ht="12.95">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row>
    <row r="409" spans="2:33" ht="12.95">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row>
    <row r="410" spans="2:33" ht="12.95">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row>
    <row r="411" spans="2:33" ht="12.95">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row>
    <row r="412" spans="2:33" ht="12.95">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row>
    <row r="413" spans="2:33" ht="12.95">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row>
    <row r="414" spans="2:33" ht="12.95">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row>
    <row r="415" spans="2:33" ht="12.95">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row>
    <row r="416" spans="2:33" ht="12.95">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row>
    <row r="417" spans="2:33" ht="12.95">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row>
    <row r="418" spans="2:33" ht="12.95">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row>
    <row r="419" spans="2:33" ht="12.95">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row>
    <row r="420" spans="2:33" ht="12.95">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row>
    <row r="421" spans="2:33" ht="12.95">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row>
    <row r="422" spans="2:33" ht="12.95">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row>
    <row r="423" spans="2:33" ht="12.95">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row>
    <row r="424" spans="2:33" ht="12.95">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row>
    <row r="425" spans="2:33" ht="12.95">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row>
    <row r="426" spans="2:33" ht="12.95">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row>
    <row r="427" spans="2:33" ht="12.95">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row>
    <row r="428" spans="2:33" ht="12.95">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row>
    <row r="429" spans="2:33" ht="12.95">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row>
    <row r="430" spans="2:33" ht="12.95">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row>
    <row r="431" spans="2:33" ht="12.95">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row>
    <row r="432" spans="2:33" ht="12.95">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row>
    <row r="433" spans="2:33" ht="12.95">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row>
    <row r="434" spans="2:33" ht="12.95">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row>
    <row r="435" spans="2:33" ht="12.95">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row>
    <row r="436" spans="2:33" ht="12.95">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row>
    <row r="437" spans="2:33" ht="12.95">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row>
    <row r="438" spans="2:33" ht="12.95">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row>
    <row r="439" spans="2:33" ht="12.95">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row>
    <row r="440" spans="2:33" ht="12.95">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row>
    <row r="441" spans="2:33" ht="12.95">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row>
    <row r="442" spans="2:33" ht="12.95">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row>
    <row r="443" spans="2:33" ht="12.95">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row>
    <row r="444" spans="2:33" ht="12.95">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row>
    <row r="445" spans="2:33" ht="12.95">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row>
    <row r="446" spans="2:33" ht="12.95">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row>
    <row r="447" spans="2:33" ht="12.95">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row>
    <row r="448" spans="2:33" ht="12.95">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row>
    <row r="449" spans="2:33" ht="12.95">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row>
    <row r="450" spans="2:33" ht="12.95">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row>
    <row r="451" spans="2:33" ht="12.95">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row>
    <row r="452" spans="2:33" ht="12.95">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row>
    <row r="453" spans="2:33" ht="12.95">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row>
    <row r="454" spans="2:33" ht="12.95">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row>
    <row r="455" spans="2:33" ht="12.95">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row>
    <row r="456" spans="2:33" ht="12.95">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row>
    <row r="457" spans="2:33" ht="12.95">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row>
    <row r="458" spans="2:33" ht="12.95">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row>
    <row r="459" spans="2:33" ht="12.95">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row>
    <row r="460" spans="2:33" ht="12.95">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row>
    <row r="461" spans="2:33" ht="12.95">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c r="AF461" s="38"/>
      <c r="AG461" s="38"/>
    </row>
    <row r="462" spans="2:33" ht="12.95">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c r="AF462" s="38"/>
      <c r="AG462" s="38"/>
    </row>
    <row r="463" spans="2:33" ht="12.95">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row>
    <row r="464" spans="2:33" ht="12.95">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8"/>
      <c r="AF464" s="38"/>
      <c r="AG464" s="38"/>
    </row>
    <row r="465" spans="2:33" ht="12.95">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38"/>
    </row>
    <row r="466" spans="2:33" ht="12.95">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row>
    <row r="467" spans="2:33" ht="12.95">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row>
    <row r="468" spans="2:33" ht="12.95">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c r="AG468" s="38"/>
    </row>
    <row r="469" spans="2:33" ht="12.95">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row>
    <row r="470" spans="2:33" ht="12.95">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row>
    <row r="471" spans="2:33" ht="12.95">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8"/>
      <c r="AF471" s="38"/>
      <c r="AG471" s="38"/>
    </row>
    <row r="472" spans="2:33" ht="12.95">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c r="AF472" s="38"/>
      <c r="AG472" s="38"/>
    </row>
    <row r="473" spans="2:33" ht="12.95">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8"/>
      <c r="AF473" s="38"/>
      <c r="AG473" s="38"/>
    </row>
    <row r="474" spans="2:33" ht="12.95">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G474" s="38"/>
    </row>
    <row r="475" spans="2:33" ht="12.95">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row>
    <row r="476" spans="2:33" ht="12.95">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8"/>
      <c r="AF476" s="38"/>
      <c r="AG476" s="38"/>
    </row>
    <row r="477" spans="2:33" ht="12.95">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8"/>
      <c r="AF477" s="38"/>
      <c r="AG477" s="38"/>
    </row>
    <row r="478" spans="2:33" ht="12.95">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c r="AF478" s="38"/>
      <c r="AG478" s="38"/>
    </row>
    <row r="479" spans="2:33" ht="12.95">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8"/>
      <c r="AF479" s="38"/>
      <c r="AG479" s="38"/>
    </row>
    <row r="480" spans="2:33" ht="12.95">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row>
    <row r="481" spans="2:33" ht="12.95">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c r="AF481" s="38"/>
      <c r="AG481" s="38"/>
    </row>
    <row r="482" spans="2:33" ht="12.95">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row>
    <row r="483" spans="2:33" ht="12.95">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38"/>
    </row>
    <row r="484" spans="2:33" ht="12.95">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row>
    <row r="485" spans="2:33" ht="12.95">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row>
    <row r="486" spans="2:33" ht="12.95">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8"/>
      <c r="AF486" s="38"/>
      <c r="AG486" s="38"/>
    </row>
    <row r="487" spans="2:33" ht="12.95">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c r="AF487" s="38"/>
      <c r="AG487" s="38"/>
    </row>
    <row r="488" spans="2:33" ht="12.95">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c r="AF488" s="38"/>
      <c r="AG488" s="38"/>
    </row>
    <row r="489" spans="2:33" ht="12.95">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c r="AF489" s="38"/>
      <c r="AG489" s="38"/>
    </row>
    <row r="490" spans="2:33" ht="12.95">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8"/>
      <c r="AF490" s="38"/>
      <c r="AG490" s="38"/>
    </row>
    <row r="491" spans="2:33" ht="12.95">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8"/>
      <c r="AF491" s="38"/>
      <c r="AG491" s="38"/>
    </row>
    <row r="492" spans="2:33" ht="12.95">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row>
    <row r="493" spans="2:33" ht="12.95">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8"/>
      <c r="AF493" s="38"/>
      <c r="AG493" s="38"/>
    </row>
    <row r="494" spans="2:33" ht="12.95">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8"/>
      <c r="AF494" s="38"/>
      <c r="AG494" s="38"/>
    </row>
    <row r="495" spans="2:33" ht="12.95">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c r="AF495" s="38"/>
      <c r="AG495" s="38"/>
    </row>
    <row r="496" spans="2:33" ht="12.95">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c r="AF496" s="38"/>
      <c r="AG496" s="38"/>
    </row>
    <row r="497" spans="2:33" ht="12.95">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38"/>
    </row>
    <row r="498" spans="2:33" ht="12.95">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c r="AF498" s="38"/>
      <c r="AG498" s="38"/>
    </row>
    <row r="499" spans="2:33" ht="12.95">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c r="AE499" s="38"/>
      <c r="AF499" s="38"/>
      <c r="AG499" s="38"/>
    </row>
    <row r="500" spans="2:33" ht="12.95">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38"/>
    </row>
    <row r="501" spans="2:33" ht="12.95">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row>
    <row r="502" spans="2:33" ht="12.95">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c r="AE502" s="38"/>
      <c r="AF502" s="38"/>
      <c r="AG502" s="38"/>
    </row>
    <row r="503" spans="2:33" ht="12.95">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38"/>
    </row>
    <row r="504" spans="2:33" ht="12.95">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38"/>
    </row>
    <row r="505" spans="2:33" ht="12.95">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c r="AF505" s="38"/>
      <c r="AG505" s="38"/>
    </row>
    <row r="506" spans="2:33" ht="12.95">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row>
    <row r="507" spans="2:33" ht="12.95">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row>
    <row r="508" spans="2:33" ht="12.95">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row>
    <row r="509" spans="2:33" ht="12.95">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row>
    <row r="510" spans="2:33" ht="12.95">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row>
    <row r="511" spans="2:33" ht="12.95">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row>
    <row r="512" spans="2:33" ht="12.95">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row>
    <row r="513" spans="2:33" ht="12.95">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row>
    <row r="514" spans="2:33" ht="12.95">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row>
    <row r="515" spans="2:33" ht="12.95">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row>
    <row r="516" spans="2:33" ht="12.95">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row>
    <row r="517" spans="2:33" ht="12.95">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row>
    <row r="518" spans="2:33" ht="12.95">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c r="AE518" s="38"/>
      <c r="AF518" s="38"/>
      <c r="AG518" s="38"/>
    </row>
    <row r="519" spans="2:33" ht="12.95">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c r="AE519" s="38"/>
      <c r="AF519" s="38"/>
      <c r="AG519" s="38"/>
    </row>
    <row r="520" spans="2:33" ht="12.95">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row>
    <row r="521" spans="2:33" ht="12.95">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row>
    <row r="522" spans="2:33" ht="12.95">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row>
    <row r="523" spans="2:33" ht="12.95">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row>
    <row r="524" spans="2:33" ht="12.95">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row>
    <row r="525" spans="2:33" ht="12.95">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row>
    <row r="526" spans="2:33" ht="12.95">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row>
    <row r="527" spans="2:33" ht="12.95">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row>
    <row r="528" spans="2:33" ht="12.95">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row>
    <row r="529" spans="2:33" ht="12.95">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row>
    <row r="530" spans="2:33" ht="12.95">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row>
    <row r="531" spans="2:33" ht="12.95">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row>
    <row r="532" spans="2:33" ht="12.95">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row>
    <row r="533" spans="2:33" ht="12.95">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row>
    <row r="534" spans="2:33" ht="12.95">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row>
    <row r="535" spans="2:33" ht="12.95">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row>
    <row r="536" spans="2:33" ht="12.95">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row>
    <row r="537" spans="2:33" ht="12.95">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row>
    <row r="538" spans="2:33" ht="12.95">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row>
    <row r="539" spans="2:33" ht="12.95">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row>
    <row r="540" spans="2:33" ht="12.95">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row>
    <row r="541" spans="2:33" ht="12.95">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row>
    <row r="542" spans="2:33" ht="12.95">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row>
    <row r="543" spans="2:33" ht="12.95">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c r="AE543" s="38"/>
      <c r="AF543" s="38"/>
      <c r="AG543" s="38"/>
    </row>
    <row r="544" spans="2:33" ht="12.95">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c r="AE544" s="38"/>
      <c r="AF544" s="38"/>
      <c r="AG544" s="38"/>
    </row>
    <row r="545" spans="2:33" ht="12.95">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row>
    <row r="546" spans="2:33" ht="12.95">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c r="AF546" s="38"/>
      <c r="AG546" s="38"/>
    </row>
    <row r="547" spans="2:33" ht="12.95">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38"/>
    </row>
    <row r="548" spans="2:33" ht="12.95">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38"/>
    </row>
    <row r="549" spans="2:33" ht="12.95">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c r="AE549" s="38"/>
      <c r="AF549" s="38"/>
      <c r="AG549" s="38"/>
    </row>
    <row r="550" spans="2:33" ht="12.95">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38"/>
    </row>
    <row r="551" spans="2:33" ht="12.95">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c r="AE551" s="38"/>
      <c r="AF551" s="38"/>
      <c r="AG551" s="38"/>
    </row>
    <row r="552" spans="2:33" ht="12.95">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38"/>
    </row>
    <row r="553" spans="2:33" ht="12.95">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c r="AE553" s="38"/>
      <c r="AF553" s="38"/>
      <c r="AG553" s="38"/>
    </row>
    <row r="554" spans="2:33" ht="12.95">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38"/>
    </row>
    <row r="555" spans="2:33" ht="12.95">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c r="AE555" s="38"/>
      <c r="AF555" s="38"/>
      <c r="AG555" s="38"/>
    </row>
    <row r="556" spans="2:33" ht="12.95">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c r="AE556" s="38"/>
      <c r="AF556" s="38"/>
      <c r="AG556" s="38"/>
    </row>
    <row r="557" spans="2:33" ht="12.95">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c r="AE557" s="38"/>
      <c r="AF557" s="38"/>
      <c r="AG557" s="38"/>
    </row>
    <row r="558" spans="2:33" ht="12.95">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c r="AE558" s="38"/>
      <c r="AF558" s="38"/>
      <c r="AG558" s="38"/>
    </row>
    <row r="559" spans="2:33" ht="12.95">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38"/>
    </row>
    <row r="560" spans="2:33" ht="12.95">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38"/>
    </row>
    <row r="561" spans="2:33" ht="12.95">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c r="AE561" s="38"/>
      <c r="AF561" s="38"/>
      <c r="AG561" s="38"/>
    </row>
    <row r="562" spans="2:33" ht="12.95">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row>
    <row r="563" spans="2:33" ht="12.95">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row>
    <row r="564" spans="2:33" ht="12.95">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row>
    <row r="565" spans="2:33" ht="12.95">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c r="AE565" s="38"/>
      <c r="AF565" s="38"/>
      <c r="AG565" s="38"/>
    </row>
    <row r="566" spans="2:33" ht="12.95">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38"/>
    </row>
    <row r="567" spans="2:33" ht="12.95">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38"/>
      <c r="AF567" s="38"/>
      <c r="AG567" s="38"/>
    </row>
    <row r="568" spans="2:33" ht="12.95">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38"/>
    </row>
    <row r="569" spans="2:33" ht="12.95">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c r="AE569" s="38"/>
      <c r="AF569" s="38"/>
      <c r="AG569" s="38"/>
    </row>
    <row r="570" spans="2:33" ht="12.95">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38"/>
    </row>
    <row r="571" spans="2:33" ht="12.95">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c r="AE571" s="38"/>
      <c r="AF571" s="38"/>
      <c r="AG571" s="38"/>
    </row>
    <row r="572" spans="2:33" ht="12.95">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row>
    <row r="573" spans="2:33" ht="12.95">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38"/>
    </row>
    <row r="574" spans="2:33" ht="12.95">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c r="AE574" s="38"/>
      <c r="AF574" s="38"/>
      <c r="AG574" s="38"/>
    </row>
    <row r="575" spans="2:33" ht="12.95">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38"/>
    </row>
    <row r="576" spans="2:33" ht="12.95">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c r="AE576" s="38"/>
      <c r="AF576" s="38"/>
      <c r="AG576" s="38"/>
    </row>
    <row r="577" spans="2:33" ht="12.95">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38"/>
    </row>
    <row r="578" spans="2:33" ht="12.95">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c r="AE578" s="38"/>
      <c r="AF578" s="38"/>
      <c r="AG578" s="38"/>
    </row>
    <row r="579" spans="2:33" ht="12.95">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c r="AE579" s="38"/>
      <c r="AF579" s="38"/>
      <c r="AG579" s="38"/>
    </row>
    <row r="580" spans="2:33" ht="12.95">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c r="AE580" s="38"/>
      <c r="AF580" s="38"/>
      <c r="AG580" s="38"/>
    </row>
    <row r="581" spans="2:33" ht="12.95">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c r="AE581" s="38"/>
      <c r="AF581" s="38"/>
      <c r="AG581" s="38"/>
    </row>
    <row r="582" spans="2:33" ht="12.95">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row>
    <row r="583" spans="2:33" ht="12.95">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c r="AE583" s="38"/>
      <c r="AF583" s="38"/>
      <c r="AG583" s="38"/>
    </row>
    <row r="584" spans="2:33" ht="12.95">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c r="AE584" s="38"/>
      <c r="AF584" s="38"/>
      <c r="AG584" s="38"/>
    </row>
    <row r="585" spans="2:33" ht="12.95">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c r="AE585" s="38"/>
      <c r="AF585" s="38"/>
      <c r="AG585" s="38"/>
    </row>
    <row r="586" spans="2:33" ht="12.95">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row>
    <row r="587" spans="2:33" ht="12.95">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row>
    <row r="588" spans="2:33" ht="12.95">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row>
    <row r="589" spans="2:33" ht="12.95">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row>
    <row r="590" spans="2:33" ht="12.95">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row>
    <row r="591" spans="2:33" ht="12.95">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row>
    <row r="592" spans="2:33" ht="12.95">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row>
    <row r="593" spans="2:33" ht="12.95">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row>
    <row r="594" spans="2:33" ht="12.95">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row>
    <row r="595" spans="2:33" ht="12.95">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row>
    <row r="596" spans="2:33" ht="12.95">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row>
    <row r="597" spans="2:33" ht="12.95">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row>
    <row r="598" spans="2:33" ht="12.95">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row>
    <row r="599" spans="2:33" ht="12.95">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row>
    <row r="600" spans="2:33" ht="12.95">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row>
    <row r="601" spans="2:33" ht="12.95">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row>
    <row r="602" spans="2:33" ht="12.95">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row>
    <row r="603" spans="2:33" ht="12.95">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row>
    <row r="604" spans="2:33" ht="12.95">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row>
    <row r="605" spans="2:33" ht="12.95">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row>
    <row r="606" spans="2:33" ht="12.95">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row>
    <row r="607" spans="2:33" ht="12.95">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row>
    <row r="608" spans="2:33" ht="12.95">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row>
    <row r="609" spans="2:33" ht="12.95">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row>
    <row r="610" spans="2:33" ht="12.95">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row>
    <row r="611" spans="2:33" ht="12.95">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row>
    <row r="612" spans="2:33" ht="12.95">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38"/>
    </row>
    <row r="613" spans="2:33" ht="12.95">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c r="AE613" s="38"/>
      <c r="AF613" s="38"/>
      <c r="AG613" s="38"/>
    </row>
    <row r="614" spans="2:33" ht="12.95">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38"/>
      <c r="AF614" s="38"/>
      <c r="AG614" s="38"/>
    </row>
    <row r="615" spans="2:33" ht="12.95">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c r="AE615" s="38"/>
      <c r="AF615" s="38"/>
      <c r="AG615" s="38"/>
    </row>
    <row r="616" spans="2:33" ht="12.95">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row>
    <row r="617" spans="2:33" ht="12.95">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38"/>
    </row>
    <row r="618" spans="2:33" ht="12.95">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c r="AE618" s="38"/>
      <c r="AF618" s="38"/>
      <c r="AG618" s="38"/>
    </row>
    <row r="619" spans="2:33" ht="12.95">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c r="AE619" s="38"/>
      <c r="AF619" s="38"/>
      <c r="AG619" s="38"/>
    </row>
    <row r="620" spans="2:33" ht="12.95">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38"/>
    </row>
    <row r="621" spans="2:33" ht="12.95">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38"/>
    </row>
    <row r="622" spans="2:33" ht="12.95">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c r="AE622" s="38"/>
      <c r="AF622" s="38"/>
      <c r="AG622" s="38"/>
    </row>
    <row r="623" spans="2:33" ht="12.95">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c r="AE623" s="38"/>
      <c r="AF623" s="38"/>
      <c r="AG623" s="38"/>
    </row>
    <row r="624" spans="2:33" ht="12.95">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c r="AE624" s="38"/>
      <c r="AF624" s="38"/>
      <c r="AG624" s="38"/>
    </row>
    <row r="625" spans="2:33" ht="12.95">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c r="AE625" s="38"/>
      <c r="AF625" s="38"/>
      <c r="AG625" s="38"/>
    </row>
    <row r="626" spans="2:33" ht="12.95">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38"/>
    </row>
    <row r="627" spans="2:33" ht="12.95">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38"/>
    </row>
    <row r="628" spans="2:33" ht="12.95">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c r="AE628" s="38"/>
      <c r="AF628" s="38"/>
      <c r="AG628" s="38"/>
    </row>
    <row r="629" spans="2:33" ht="12.95">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c r="AE629" s="38"/>
      <c r="AF629" s="38"/>
      <c r="AG629" s="38"/>
    </row>
    <row r="630" spans="2:33" ht="12.95">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38"/>
    </row>
    <row r="631" spans="2:33" ht="12.95">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row>
    <row r="632" spans="2:33" ht="12.95">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row>
    <row r="633" spans="2:33" ht="12.95">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row>
    <row r="634" spans="2:33" ht="12.95">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row>
    <row r="635" spans="2:33" ht="12.95">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row>
    <row r="636" spans="2:33" ht="12.95">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row>
    <row r="637" spans="2:33" ht="12.95">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row>
    <row r="638" spans="2:33" ht="12.95">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row>
    <row r="639" spans="2:33" ht="12.95">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row>
    <row r="640" spans="2:33" ht="12.95">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row>
    <row r="641" spans="2:33" ht="12.95">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row>
    <row r="642" spans="2:33" ht="12.95">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row>
    <row r="643" spans="2:33" ht="12.95">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row>
    <row r="644" spans="2:33" ht="12.95">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38"/>
    </row>
    <row r="645" spans="2:33" ht="12.95">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38"/>
    </row>
    <row r="646" spans="2:33" ht="12.95">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38"/>
    </row>
    <row r="647" spans="2:33" ht="12.95">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c r="AE647" s="38"/>
      <c r="AF647" s="38"/>
      <c r="AG647" s="38"/>
    </row>
    <row r="648" spans="2:33" ht="12.95">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38"/>
    </row>
    <row r="649" spans="2:33" ht="12.95">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c r="AE649" s="38"/>
      <c r="AF649" s="38"/>
      <c r="AG649" s="38"/>
    </row>
    <row r="650" spans="2:33" ht="12.95">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38"/>
    </row>
    <row r="651" spans="2:33" ht="12.95">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38"/>
    </row>
    <row r="652" spans="2:33" ht="12.95">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38"/>
    </row>
    <row r="653" spans="2:33" ht="12.95">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row>
    <row r="654" spans="2:33" ht="12.95">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row>
    <row r="655" spans="2:33" ht="12.95">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row>
    <row r="656" spans="2:33" ht="12.95">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row>
    <row r="657" spans="2:33" ht="12.95">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row>
    <row r="658" spans="2:33" ht="12.95">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row>
    <row r="659" spans="2:33" ht="12.95">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c r="AE659" s="38"/>
      <c r="AF659" s="38"/>
      <c r="AG659" s="38"/>
    </row>
    <row r="660" spans="2:33" ht="12.95">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38"/>
    </row>
    <row r="661" spans="2:33" ht="12.95">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row>
    <row r="662" spans="2:33" ht="12.95">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row>
    <row r="663" spans="2:33" ht="12.95">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38"/>
    </row>
    <row r="664" spans="2:33" ht="12.95">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38"/>
    </row>
    <row r="665" spans="2:33" ht="12.95">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38"/>
    </row>
    <row r="666" spans="2:33" ht="12.95">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38"/>
    </row>
    <row r="667" spans="2:33" ht="12.95">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38"/>
    </row>
    <row r="668" spans="2:33" ht="12.95">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c r="AE668" s="38"/>
      <c r="AF668" s="38"/>
      <c r="AG668" s="38"/>
    </row>
    <row r="669" spans="2:33" ht="12.95">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38"/>
    </row>
    <row r="670" spans="2:33" ht="12.95">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38"/>
    </row>
    <row r="671" spans="2:33" ht="12.95">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38"/>
    </row>
    <row r="672" spans="2:33" ht="12.95">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c r="AE672" s="38"/>
      <c r="AF672" s="38"/>
      <c r="AG672" s="38"/>
    </row>
    <row r="673" spans="2:33" ht="12.95">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38"/>
    </row>
    <row r="674" spans="2:33" ht="12.95">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38"/>
    </row>
    <row r="675" spans="2:33" ht="12.95">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38"/>
    </row>
    <row r="676" spans="2:33" ht="12.95">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c r="AE676" s="38"/>
      <c r="AF676" s="38"/>
      <c r="AG676" s="38"/>
    </row>
    <row r="677" spans="2:33" ht="12.95">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38"/>
    </row>
    <row r="678" spans="2:33" ht="12.95">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38"/>
    </row>
    <row r="679" spans="2:33" ht="12.95">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38"/>
    </row>
    <row r="680" spans="2:33" ht="12.95">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c r="AE680" s="38"/>
      <c r="AF680" s="38"/>
      <c r="AG680" s="38"/>
    </row>
    <row r="681" spans="2:33" ht="12.95">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38"/>
    </row>
    <row r="682" spans="2:33" ht="12.95">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38"/>
    </row>
    <row r="683" spans="2:33" ht="12.95">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c r="AE683" s="38"/>
      <c r="AF683" s="38"/>
      <c r="AG683" s="38"/>
    </row>
    <row r="684" spans="2:33" ht="12.95">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38"/>
    </row>
    <row r="685" spans="2:33" ht="12.95">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38"/>
    </row>
    <row r="686" spans="2:33" ht="12.95">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row>
    <row r="687" spans="2:33" ht="12.95">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38"/>
    </row>
    <row r="688" spans="2:33" ht="12.95">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38"/>
    </row>
    <row r="689" spans="2:33" ht="12.95">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38"/>
    </row>
    <row r="690" spans="2:33" ht="12.95">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c r="AE690" s="38"/>
      <c r="AF690" s="38"/>
      <c r="AG690" s="38"/>
    </row>
    <row r="691" spans="2:33" ht="12.95">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38"/>
    </row>
    <row r="692" spans="2:33" ht="12.95">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38"/>
    </row>
    <row r="693" spans="2:33" ht="12.95">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c r="AE693" s="38"/>
      <c r="AF693" s="38"/>
      <c r="AG693" s="38"/>
    </row>
    <row r="694" spans="2:33" ht="12.95">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row>
    <row r="695" spans="2:33" ht="12.95">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row>
    <row r="696" spans="2:33" ht="12.95">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row>
    <row r="697" spans="2:33" ht="12.95">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row>
    <row r="698" spans="2:33" ht="12.95">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row>
    <row r="699" spans="2:33" ht="12.95">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row>
    <row r="700" spans="2:33" ht="12.95">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row>
    <row r="701" spans="2:33" ht="12.95">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row>
    <row r="702" spans="2:33" ht="12.95">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row>
    <row r="703" spans="2:33" ht="12.95">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row>
    <row r="704" spans="2:33" ht="12.95">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row>
    <row r="705" spans="2:33" ht="12.95">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row>
    <row r="706" spans="2:33" ht="12.95">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c r="AE706" s="38"/>
      <c r="AF706" s="38"/>
      <c r="AG706" s="38"/>
    </row>
    <row r="707" spans="2:33" ht="12.95">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c r="AE707" s="38"/>
      <c r="AF707" s="38"/>
      <c r="AG707" s="38"/>
    </row>
    <row r="708" spans="2:33" ht="12.95">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c r="AE708" s="38"/>
      <c r="AF708" s="38"/>
      <c r="AG708" s="38"/>
    </row>
    <row r="709" spans="2:33" ht="12.95">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c r="AE709" s="38"/>
      <c r="AF709" s="38"/>
      <c r="AG709" s="38"/>
    </row>
    <row r="710" spans="2:33" ht="12.95">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c r="AE710" s="38"/>
      <c r="AF710" s="38"/>
      <c r="AG710" s="38"/>
    </row>
    <row r="711" spans="2:33" ht="12.95">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c r="AE711" s="38"/>
      <c r="AF711" s="38"/>
      <c r="AG711" s="38"/>
    </row>
    <row r="712" spans="2:33" ht="12.95">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row>
    <row r="713" spans="2:33" ht="12.95">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row>
    <row r="714" spans="2:33" ht="12.95">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row>
    <row r="715" spans="2:33" ht="12.95">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row>
    <row r="716" spans="2:33" ht="12.95">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row>
    <row r="717" spans="2:33" ht="12.95">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row>
    <row r="718" spans="2:33" ht="12.95">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c r="AE718" s="38"/>
      <c r="AF718" s="38"/>
      <c r="AG718" s="38"/>
    </row>
    <row r="719" spans="2:33" ht="12.95">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c r="AE719" s="38"/>
      <c r="AF719" s="38"/>
      <c r="AG719" s="38"/>
    </row>
    <row r="720" spans="2:33" ht="12.95">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c r="AE720" s="38"/>
      <c r="AF720" s="38"/>
      <c r="AG720" s="38"/>
    </row>
    <row r="721" spans="2:33" ht="12.95">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c r="AE721" s="38"/>
      <c r="AF721" s="38"/>
      <c r="AG721" s="38"/>
    </row>
    <row r="722" spans="2:33" ht="12.95">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c r="AE722" s="38"/>
      <c r="AF722" s="38"/>
      <c r="AG722" s="38"/>
    </row>
    <row r="723" spans="2:33" ht="12.95">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c r="AE723" s="38"/>
      <c r="AF723" s="38"/>
      <c r="AG723" s="38"/>
    </row>
    <row r="724" spans="2:33" ht="12.95">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c r="AE724" s="38"/>
      <c r="AF724" s="38"/>
      <c r="AG724" s="38"/>
    </row>
    <row r="725" spans="2:33" ht="12.95">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c r="AE725" s="38"/>
      <c r="AF725" s="38"/>
      <c r="AG725" s="38"/>
    </row>
    <row r="726" spans="2:33" ht="12.95">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c r="AE726" s="38"/>
      <c r="AF726" s="38"/>
      <c r="AG726" s="38"/>
    </row>
    <row r="727" spans="2:33" ht="12.95">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c r="AE727" s="38"/>
      <c r="AF727" s="38"/>
      <c r="AG727" s="38"/>
    </row>
    <row r="728" spans="2:33" ht="12.95">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row>
    <row r="729" spans="2:33" ht="12.95">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c r="AE729" s="38"/>
      <c r="AF729" s="38"/>
      <c r="AG729" s="38"/>
    </row>
    <row r="730" spans="2:33" ht="12.95">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c r="AE730" s="38"/>
      <c r="AF730" s="38"/>
      <c r="AG730" s="38"/>
    </row>
    <row r="731" spans="2:33" ht="12.95">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c r="AE731" s="38"/>
      <c r="AF731" s="38"/>
      <c r="AG731" s="38"/>
    </row>
    <row r="732" spans="2:33" ht="12.95">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c r="AE732" s="38"/>
      <c r="AF732" s="38"/>
      <c r="AG732" s="38"/>
    </row>
    <row r="733" spans="2:33" ht="12.95">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c r="AE733" s="38"/>
      <c r="AF733" s="38"/>
      <c r="AG733" s="38"/>
    </row>
    <row r="734" spans="2:33" ht="12.95">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c r="AE734" s="38"/>
      <c r="AF734" s="38"/>
      <c r="AG734" s="38"/>
    </row>
    <row r="735" spans="2:33" ht="12.95">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c r="AE735" s="38"/>
      <c r="AF735" s="38"/>
      <c r="AG735" s="38"/>
    </row>
    <row r="736" spans="2:33" ht="12.95">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c r="AE736" s="38"/>
      <c r="AF736" s="38"/>
      <c r="AG736" s="38"/>
    </row>
    <row r="737" spans="2:33" ht="12.95">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c r="AE737" s="38"/>
      <c r="AF737" s="38"/>
      <c r="AG737" s="38"/>
    </row>
    <row r="738" spans="2:33" ht="12.95">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c r="AE738" s="38"/>
      <c r="AF738" s="38"/>
      <c r="AG738" s="38"/>
    </row>
    <row r="739" spans="2:33" ht="12.95">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c r="AE739" s="38"/>
      <c r="AF739" s="38"/>
      <c r="AG739" s="38"/>
    </row>
    <row r="740" spans="2:33" ht="12.95">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c r="AE740" s="38"/>
      <c r="AF740" s="38"/>
      <c r="AG740" s="38"/>
    </row>
    <row r="741" spans="2:33" ht="12.95">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row>
    <row r="742" spans="2:33" ht="12.95">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c r="AE742" s="38"/>
      <c r="AF742" s="38"/>
      <c r="AG742" s="38"/>
    </row>
    <row r="743" spans="2:33" ht="12.95">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c r="AE743" s="38"/>
      <c r="AF743" s="38"/>
      <c r="AG743" s="38"/>
    </row>
    <row r="744" spans="2:33" ht="12.95">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c r="AE744" s="38"/>
      <c r="AF744" s="38"/>
      <c r="AG744" s="38"/>
    </row>
    <row r="745" spans="2:33" ht="12.95">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c r="AE745" s="38"/>
      <c r="AF745" s="38"/>
      <c r="AG745" s="38"/>
    </row>
    <row r="746" spans="2:33" ht="12.95">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c r="AE746" s="38"/>
      <c r="AF746" s="38"/>
      <c r="AG746" s="38"/>
    </row>
    <row r="747" spans="2:33" ht="12.95">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c r="AE747" s="38"/>
      <c r="AF747" s="38"/>
      <c r="AG747" s="38"/>
    </row>
    <row r="748" spans="2:33" ht="12.95">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c r="AE748" s="38"/>
      <c r="AF748" s="38"/>
      <c r="AG748" s="38"/>
    </row>
    <row r="749" spans="2:33" ht="12.95">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c r="AE749" s="38"/>
      <c r="AF749" s="38"/>
      <c r="AG749" s="38"/>
    </row>
    <row r="750" spans="2:33" ht="12.95">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c r="AE750" s="38"/>
      <c r="AF750" s="38"/>
      <c r="AG750" s="38"/>
    </row>
    <row r="751" spans="2:33" ht="12.95">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c r="AE751" s="38"/>
      <c r="AF751" s="38"/>
      <c r="AG751" s="38"/>
    </row>
    <row r="752" spans="2:33" ht="12.95">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c r="AE752" s="38"/>
      <c r="AF752" s="38"/>
      <c r="AG752" s="38"/>
    </row>
    <row r="753" spans="2:33" ht="12.95">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c r="AE753" s="38"/>
      <c r="AF753" s="38"/>
      <c r="AG753" s="38"/>
    </row>
    <row r="754" spans="2:33" ht="12.95">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c r="AE754" s="38"/>
      <c r="AF754" s="38"/>
      <c r="AG754" s="38"/>
    </row>
    <row r="755" spans="2:33" ht="12.95">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c r="AE755" s="38"/>
      <c r="AF755" s="38"/>
      <c r="AG755" s="38"/>
    </row>
    <row r="756" spans="2:33" ht="12.95">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row>
    <row r="757" spans="2:33" ht="12.95">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c r="AE757" s="38"/>
      <c r="AF757" s="38"/>
      <c r="AG757" s="38"/>
    </row>
    <row r="758" spans="2:33" ht="12.95">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c r="AE758" s="38"/>
      <c r="AF758" s="38"/>
      <c r="AG758" s="38"/>
    </row>
    <row r="759" spans="2:33" ht="12.95">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c r="AE759" s="38"/>
      <c r="AF759" s="38"/>
      <c r="AG759" s="38"/>
    </row>
    <row r="760" spans="2:33" ht="12.95">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c r="AE760" s="38"/>
      <c r="AF760" s="38"/>
      <c r="AG760" s="38"/>
    </row>
    <row r="761" spans="2:33" ht="12.95">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c r="AE761" s="38"/>
      <c r="AF761" s="38"/>
      <c r="AG761" s="38"/>
    </row>
    <row r="762" spans="2:33" ht="12.95">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c r="AE762" s="38"/>
      <c r="AF762" s="38"/>
      <c r="AG762" s="38"/>
    </row>
    <row r="763" spans="2:33" ht="12.95">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c r="AE763" s="38"/>
      <c r="AF763" s="38"/>
      <c r="AG763" s="38"/>
    </row>
    <row r="764" spans="2:33" ht="12.95">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c r="AE764" s="38"/>
      <c r="AF764" s="38"/>
      <c r="AG764" s="38"/>
    </row>
    <row r="765" spans="2:33" ht="12.95">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c r="AE765" s="38"/>
      <c r="AF765" s="38"/>
      <c r="AG765" s="38"/>
    </row>
    <row r="766" spans="2:33" ht="12.95">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c r="AE766" s="38"/>
      <c r="AF766" s="38"/>
      <c r="AG766" s="38"/>
    </row>
    <row r="767" spans="2:33" ht="12.95">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c r="AE767" s="38"/>
      <c r="AF767" s="38"/>
      <c r="AG767" s="38"/>
    </row>
    <row r="768" spans="2:33" ht="12.95">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c r="AE768" s="38"/>
      <c r="AF768" s="38"/>
      <c r="AG768" s="38"/>
    </row>
    <row r="769" spans="2:33" ht="12.95">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c r="AE769" s="38"/>
      <c r="AF769" s="38"/>
      <c r="AG769" s="38"/>
    </row>
    <row r="770" spans="2:33" ht="12.95">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c r="AE770" s="38"/>
      <c r="AF770" s="38"/>
      <c r="AG770" s="38"/>
    </row>
    <row r="771" spans="2:33" ht="12.95">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c r="AE771" s="38"/>
      <c r="AF771" s="38"/>
      <c r="AG771" s="38"/>
    </row>
    <row r="772" spans="2:33" ht="12.95">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c r="AE772" s="38"/>
      <c r="AF772" s="38"/>
      <c r="AG772" s="38"/>
    </row>
    <row r="773" spans="2:33" ht="12.95">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c r="AE773" s="38"/>
      <c r="AF773" s="38"/>
      <c r="AG773" s="38"/>
    </row>
    <row r="774" spans="2:33" ht="12.95">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c r="AE774" s="38"/>
      <c r="AF774" s="38"/>
      <c r="AG774" s="38"/>
    </row>
    <row r="775" spans="2:33" ht="12.95">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c r="AE775" s="38"/>
      <c r="AF775" s="38"/>
      <c r="AG775" s="38"/>
    </row>
    <row r="776" spans="2:33" ht="12.95">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c r="AE776" s="38"/>
      <c r="AF776" s="38"/>
      <c r="AG776" s="38"/>
    </row>
    <row r="777" spans="2:33" ht="12.95">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c r="AE777" s="38"/>
      <c r="AF777" s="38"/>
      <c r="AG777" s="38"/>
    </row>
    <row r="778" spans="2:33" ht="12.95">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G778" s="38"/>
    </row>
    <row r="779" spans="2:33" ht="12.95">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c r="AE779" s="38"/>
      <c r="AF779" s="38"/>
      <c r="AG779" s="38"/>
    </row>
    <row r="780" spans="2:33" ht="12.95">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c r="AE780" s="38"/>
      <c r="AF780" s="38"/>
      <c r="AG780" s="38"/>
    </row>
    <row r="781" spans="2:33" ht="12.95">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c r="AE781" s="38"/>
      <c r="AF781" s="38"/>
      <c r="AG781" s="38"/>
    </row>
    <row r="782" spans="2:33" ht="12.95">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c r="AE782" s="38"/>
      <c r="AF782" s="38"/>
      <c r="AG782" s="38"/>
    </row>
    <row r="783" spans="2:33" ht="12.95">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row>
    <row r="784" spans="2:33" ht="12.95">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row>
    <row r="785" spans="2:33" ht="12.95">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row>
    <row r="786" spans="2:33" ht="12.95">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row>
    <row r="787" spans="2:33" ht="12.95">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row>
    <row r="788" spans="2:33" ht="12.95">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row>
    <row r="789" spans="2:33" ht="12.95">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row>
    <row r="790" spans="2:33" ht="12.95">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row>
    <row r="791" spans="2:33" ht="12.95">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row>
    <row r="792" spans="2:33" ht="12.95">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c r="AE792" s="38"/>
      <c r="AF792" s="38"/>
      <c r="AG792" s="38"/>
    </row>
    <row r="793" spans="2:33" ht="12.95">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c r="AE793" s="38"/>
      <c r="AF793" s="38"/>
      <c r="AG793" s="38"/>
    </row>
    <row r="794" spans="2:33" ht="12.95">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c r="AE794" s="38"/>
      <c r="AF794" s="38"/>
      <c r="AG794" s="38"/>
    </row>
    <row r="795" spans="2:33" ht="12.95">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c r="AE795" s="38"/>
      <c r="AF795" s="38"/>
      <c r="AG795" s="38"/>
    </row>
    <row r="796" spans="2:33" ht="12.95">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c r="AE796" s="38"/>
      <c r="AF796" s="38"/>
      <c r="AG796" s="38"/>
    </row>
    <row r="797" spans="2:33" ht="12.95">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c r="AE797" s="38"/>
      <c r="AF797" s="38"/>
      <c r="AG797" s="38"/>
    </row>
    <row r="798" spans="2:33" ht="12.95">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c r="AE798" s="38"/>
      <c r="AF798" s="38"/>
      <c r="AG798" s="38"/>
    </row>
    <row r="799" spans="2:33" ht="12.95">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row>
    <row r="800" spans="2:33" ht="12.95">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row>
    <row r="801" spans="2:33" ht="12.95">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row>
    <row r="802" spans="2:33" ht="12.95">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row>
    <row r="803" spans="2:33" ht="12.95">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row>
    <row r="804" spans="2:33" ht="12.95">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row>
    <row r="805" spans="2:33" ht="12.95">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c r="AE805" s="38"/>
      <c r="AF805" s="38"/>
      <c r="AG805" s="38"/>
    </row>
    <row r="806" spans="2:33" ht="12.95">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c r="AE806" s="38"/>
      <c r="AF806" s="38"/>
      <c r="AG806" s="38"/>
    </row>
    <row r="807" spans="2:33" ht="12.95">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c r="AE807" s="38"/>
      <c r="AF807" s="38"/>
      <c r="AG807" s="38"/>
    </row>
    <row r="808" spans="2:33" ht="12.95">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c r="AE808" s="38"/>
      <c r="AF808" s="38"/>
      <c r="AG808" s="38"/>
    </row>
    <row r="809" spans="2:33" ht="12.95">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c r="AE809" s="38"/>
      <c r="AF809" s="38"/>
      <c r="AG809" s="38"/>
    </row>
    <row r="810" spans="2:33" ht="12.95">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row>
    <row r="811" spans="2:33" ht="12.95">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c r="AE811" s="38"/>
      <c r="AF811" s="38"/>
      <c r="AG811" s="38"/>
    </row>
    <row r="812" spans="2:33" ht="12.95">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38"/>
    </row>
    <row r="813" spans="2:33" ht="12.95">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c r="AE813" s="38"/>
      <c r="AF813" s="38"/>
      <c r="AG813" s="38"/>
    </row>
    <row r="814" spans="2:33" ht="12.95">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c r="AE814" s="38"/>
      <c r="AF814" s="38"/>
      <c r="AG814" s="38"/>
    </row>
    <row r="815" spans="2:33" ht="12.95">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c r="AE815" s="38"/>
      <c r="AF815" s="38"/>
      <c r="AG815" s="38"/>
    </row>
    <row r="816" spans="2:33" ht="12.95">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c r="AE816" s="38"/>
      <c r="AF816" s="38"/>
      <c r="AG816" s="38"/>
    </row>
    <row r="817" spans="2:33" ht="12.95">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c r="AE817" s="38"/>
      <c r="AF817" s="38"/>
      <c r="AG817" s="38"/>
    </row>
    <row r="818" spans="2:33" ht="12.95">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c r="AE818" s="38"/>
      <c r="AF818" s="38"/>
      <c r="AG818" s="38"/>
    </row>
    <row r="819" spans="2:33" ht="12.95">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c r="AE819" s="38"/>
      <c r="AF819" s="38"/>
      <c r="AG819" s="38"/>
    </row>
    <row r="820" spans="2:33" ht="12.95">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c r="AE820" s="38"/>
      <c r="AF820" s="38"/>
      <c r="AG820" s="38"/>
    </row>
    <row r="821" spans="2:33" ht="12.95">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c r="AE821" s="38"/>
      <c r="AF821" s="38"/>
      <c r="AG821" s="38"/>
    </row>
    <row r="822" spans="2:33" ht="12.95">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c r="AE822" s="38"/>
      <c r="AF822" s="38"/>
      <c r="AG822" s="38"/>
    </row>
    <row r="823" spans="2:33" ht="12.95">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row>
    <row r="824" spans="2:33" ht="12.95">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c r="AE824" s="38"/>
      <c r="AF824" s="38"/>
      <c r="AG824" s="38"/>
    </row>
    <row r="825" spans="2:33" ht="12.95">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c r="AE825" s="38"/>
      <c r="AF825" s="38"/>
      <c r="AG825" s="38"/>
    </row>
    <row r="826" spans="2:33" ht="12.95">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c r="AE826" s="38"/>
      <c r="AF826" s="38"/>
      <c r="AG826" s="38"/>
    </row>
    <row r="827" spans="2:33" ht="12.95">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c r="AE827" s="38"/>
      <c r="AF827" s="38"/>
      <c r="AG827" s="38"/>
    </row>
    <row r="828" spans="2:33" ht="12.95">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c r="AE828" s="38"/>
      <c r="AF828" s="38"/>
      <c r="AG828" s="38"/>
    </row>
    <row r="829" spans="2:33" ht="12.95">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c r="AE829" s="38"/>
      <c r="AF829" s="38"/>
      <c r="AG829" s="38"/>
    </row>
    <row r="830" spans="2:33" ht="12.95">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c r="AE830" s="38"/>
      <c r="AF830" s="38"/>
      <c r="AG830" s="38"/>
    </row>
    <row r="831" spans="2:33" ht="12.95">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c r="AE831" s="38"/>
      <c r="AF831" s="38"/>
      <c r="AG831" s="38"/>
    </row>
    <row r="832" spans="2:33" ht="12.95">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c r="AE832" s="38"/>
      <c r="AF832" s="38"/>
      <c r="AG832" s="38"/>
    </row>
    <row r="833" spans="2:33" ht="12.95">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c r="AE833" s="38"/>
      <c r="AF833" s="38"/>
      <c r="AG833" s="38"/>
    </row>
    <row r="834" spans="2:33" ht="12.95">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c r="AE834" s="38"/>
      <c r="AF834" s="38"/>
      <c r="AG834" s="38"/>
    </row>
    <row r="835" spans="2:33" ht="12.95">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c r="AE835" s="38"/>
      <c r="AF835" s="38"/>
      <c r="AG835" s="38"/>
    </row>
    <row r="836" spans="2:33" ht="12.95">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c r="AE836" s="38"/>
      <c r="AF836" s="38"/>
      <c r="AG836" s="38"/>
    </row>
    <row r="837" spans="2:33" ht="12.95">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c r="AE837" s="38"/>
      <c r="AF837" s="38"/>
      <c r="AG837" s="38"/>
    </row>
    <row r="838" spans="2:33" ht="12.95">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c r="AE838" s="38"/>
      <c r="AF838" s="38"/>
      <c r="AG838" s="38"/>
    </row>
    <row r="839" spans="2:33" ht="12.95">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c r="AE839" s="38"/>
      <c r="AF839" s="38"/>
      <c r="AG839" s="38"/>
    </row>
    <row r="840" spans="2:33" ht="12.95">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c r="AE840" s="38"/>
      <c r="AF840" s="38"/>
      <c r="AG840" s="38"/>
    </row>
    <row r="841" spans="2:33" ht="12.95">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row>
    <row r="842" spans="2:33" ht="12.95">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c r="AE842" s="38"/>
      <c r="AF842" s="38"/>
      <c r="AG842" s="38"/>
    </row>
    <row r="843" spans="2:33" ht="12.95">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c r="AE843" s="38"/>
      <c r="AF843" s="38"/>
      <c r="AG843" s="38"/>
    </row>
    <row r="844" spans="2:33" ht="12.95">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c r="AE844" s="38"/>
      <c r="AF844" s="38"/>
      <c r="AG844" s="38"/>
    </row>
    <row r="845" spans="2:33" ht="12.95">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row>
    <row r="846" spans="2:33" ht="12.95">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row>
    <row r="847" spans="2:33" ht="12.95">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row>
    <row r="848" spans="2:33" ht="12.95">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row>
    <row r="849" spans="2:33" ht="12.95">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row>
    <row r="850" spans="2:33" ht="12.95">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row>
    <row r="851" spans="2:33" ht="12.95">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row>
    <row r="852" spans="2:33" ht="12.95">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row>
    <row r="853" spans="2:33" ht="12.95">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row>
    <row r="854" spans="2:33" ht="12.95">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row>
    <row r="855" spans="2:33" ht="12.95">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row>
    <row r="856" spans="2:33" ht="12.95">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row>
    <row r="857" spans="2:33" ht="12.95">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row>
    <row r="858" spans="2:33" ht="12.95">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c r="AE858" s="38"/>
      <c r="AF858" s="38"/>
      <c r="AG858" s="38"/>
    </row>
    <row r="859" spans="2:33" ht="12.95">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c r="AE859" s="38"/>
      <c r="AF859" s="38"/>
      <c r="AG859" s="38"/>
    </row>
    <row r="860" spans="2:33" ht="12.95">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c r="AE860" s="38"/>
      <c r="AF860" s="38"/>
      <c r="AG860" s="38"/>
    </row>
    <row r="861" spans="2:33" ht="12.95">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c r="AE861" s="38"/>
      <c r="AF861" s="38"/>
      <c r="AG861" s="38"/>
    </row>
    <row r="862" spans="2:33" ht="12.95">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c r="AE862" s="38"/>
      <c r="AF862" s="38"/>
      <c r="AG862" s="38"/>
    </row>
    <row r="863" spans="2:33" ht="12.95">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c r="AE863" s="38"/>
      <c r="AF863" s="38"/>
      <c r="AG863" s="38"/>
    </row>
    <row r="864" spans="2:33" ht="12.95">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c r="AE864" s="38"/>
      <c r="AF864" s="38"/>
      <c r="AG864" s="38"/>
    </row>
    <row r="865" spans="2:33" ht="12.95">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c r="AE865" s="38"/>
      <c r="AF865" s="38"/>
      <c r="AG865" s="38"/>
    </row>
    <row r="866" spans="2:33" ht="12.95">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row>
    <row r="867" spans="2:33" ht="12.95">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c r="AE867" s="38"/>
      <c r="AF867" s="38"/>
      <c r="AG867" s="38"/>
    </row>
    <row r="868" spans="2:33" ht="12.95">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c r="AE868" s="38"/>
      <c r="AF868" s="38"/>
      <c r="AG868" s="38"/>
    </row>
    <row r="869" spans="2:33" ht="12.95">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row>
    <row r="870" spans="2:33" ht="12.95">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c r="AE870" s="38"/>
      <c r="AF870" s="38"/>
      <c r="AG870" s="38"/>
    </row>
    <row r="871" spans="2:33" ht="12.95">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c r="AE871" s="38"/>
      <c r="AF871" s="38"/>
      <c r="AG871" s="38"/>
    </row>
    <row r="872" spans="2:33" ht="12.95">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c r="AE872" s="38"/>
      <c r="AF872" s="38"/>
      <c r="AG872" s="38"/>
    </row>
    <row r="873" spans="2:33" ht="12.95">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c r="AE873" s="38"/>
      <c r="AF873" s="38"/>
      <c r="AG873" s="38"/>
    </row>
    <row r="874" spans="2:33" ht="12.95">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c r="AE874" s="38"/>
      <c r="AF874" s="38"/>
      <c r="AG874" s="38"/>
    </row>
    <row r="875" spans="2:33" ht="12.95">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c r="AE875" s="38"/>
      <c r="AF875" s="38"/>
      <c r="AG875" s="38"/>
    </row>
    <row r="876" spans="2:33" ht="12.95">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row>
    <row r="877" spans="2:33" ht="12.95">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c r="AE877" s="38"/>
      <c r="AF877" s="38"/>
      <c r="AG877" s="38"/>
    </row>
    <row r="878" spans="2:33" ht="12.95">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c r="AE878" s="38"/>
      <c r="AF878" s="38"/>
      <c r="AG878" s="38"/>
    </row>
    <row r="879" spans="2:33" ht="12.95">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c r="AE879" s="38"/>
      <c r="AF879" s="38"/>
      <c r="AG879" s="38"/>
    </row>
    <row r="880" spans="2:33" ht="12.95">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c r="AE880" s="38"/>
      <c r="AF880" s="38"/>
      <c r="AG880" s="38"/>
    </row>
    <row r="881" spans="2:33" ht="12.95">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c r="AE881" s="38"/>
      <c r="AF881" s="38"/>
      <c r="AG881" s="38"/>
    </row>
    <row r="882" spans="2:33" ht="12.95">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c r="AE882" s="38"/>
      <c r="AF882" s="38"/>
      <c r="AG882" s="38"/>
    </row>
    <row r="883" spans="2:33" ht="12.95">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c r="AE883" s="38"/>
      <c r="AF883" s="38"/>
      <c r="AG883" s="38"/>
    </row>
    <row r="884" spans="2:33" ht="12.95">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c r="AE884" s="38"/>
      <c r="AF884" s="38"/>
      <c r="AG884" s="38"/>
    </row>
    <row r="885" spans="2:33" ht="12.95">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c r="AE885" s="38"/>
      <c r="AF885" s="38"/>
      <c r="AG885" s="38"/>
    </row>
    <row r="886" spans="2:33" ht="12.95">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c r="AE886" s="38"/>
      <c r="AF886" s="38"/>
      <c r="AG886" s="38"/>
    </row>
    <row r="887" spans="2:33" ht="12.95">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c r="AE887" s="38"/>
      <c r="AF887" s="38"/>
      <c r="AG887" s="38"/>
    </row>
    <row r="888" spans="2:33" ht="12.95">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c r="AE888" s="38"/>
      <c r="AF888" s="38"/>
      <c r="AG888" s="38"/>
    </row>
    <row r="889" spans="2:33" ht="12.95">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c r="AE889" s="38"/>
      <c r="AF889" s="38"/>
      <c r="AG889" s="38"/>
    </row>
    <row r="890" spans="2:33" ht="12.95">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c r="AE890" s="38"/>
      <c r="AF890" s="38"/>
      <c r="AG890" s="38"/>
    </row>
    <row r="891" spans="2:33" ht="12.95">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c r="AE891" s="38"/>
      <c r="AF891" s="38"/>
      <c r="AG891" s="38"/>
    </row>
    <row r="892" spans="2:33" ht="12.95">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c r="AE892" s="38"/>
      <c r="AF892" s="38"/>
      <c r="AG892" s="38"/>
    </row>
    <row r="893" spans="2:33" ht="12.95">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c r="AE893" s="38"/>
      <c r="AF893" s="38"/>
      <c r="AG893" s="38"/>
    </row>
    <row r="894" spans="2:33" ht="12.95">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c r="AE894" s="38"/>
      <c r="AF894" s="38"/>
      <c r="AG894" s="38"/>
    </row>
    <row r="895" spans="2:33" ht="12.95">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c r="AE895" s="38"/>
      <c r="AF895" s="38"/>
      <c r="AG895" s="38"/>
    </row>
    <row r="896" spans="2:33" ht="12.95">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c r="AE896" s="38"/>
      <c r="AF896" s="38"/>
      <c r="AG896" s="38"/>
    </row>
    <row r="897" spans="2:33" ht="12.95">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c r="AE897" s="38"/>
      <c r="AF897" s="38"/>
      <c r="AG897" s="38"/>
    </row>
    <row r="898" spans="2:33" ht="12.95">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c r="AE898" s="38"/>
      <c r="AF898" s="38"/>
      <c r="AG898" s="38"/>
    </row>
    <row r="899" spans="2:33" ht="12.95">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c r="AE899" s="38"/>
      <c r="AF899" s="38"/>
      <c r="AG899" s="38"/>
    </row>
    <row r="900" spans="2:33" ht="12.95">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c r="AE900" s="38"/>
      <c r="AF900" s="38"/>
      <c r="AG900" s="38"/>
    </row>
    <row r="901" spans="2:33" ht="12.95">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c r="AE901" s="38"/>
      <c r="AF901" s="38"/>
      <c r="AG901" s="38"/>
    </row>
    <row r="902" spans="2:33" ht="12.95">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c r="AE902" s="38"/>
      <c r="AF902" s="38"/>
      <c r="AG902" s="38"/>
    </row>
    <row r="903" spans="2:33" ht="12.95">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c r="AE903" s="38"/>
      <c r="AF903" s="38"/>
      <c r="AG903" s="38"/>
    </row>
    <row r="904" spans="2:33" ht="12.95">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c r="AE904" s="38"/>
      <c r="AF904" s="38"/>
      <c r="AG904" s="38"/>
    </row>
    <row r="905" spans="2:33" ht="12.95">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row>
    <row r="906" spans="2:33" ht="12.95">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c r="AE906" s="38"/>
      <c r="AF906" s="38"/>
      <c r="AG906" s="38"/>
    </row>
    <row r="907" spans="2:33" ht="12.95">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c r="AE907" s="38"/>
      <c r="AF907" s="38"/>
      <c r="AG907" s="38"/>
    </row>
    <row r="908" spans="2:33" ht="12.95">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c r="AE908" s="38"/>
      <c r="AF908" s="38"/>
      <c r="AG908" s="38"/>
    </row>
    <row r="909" spans="2:33" ht="12.95">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c r="AE909" s="38"/>
      <c r="AF909" s="38"/>
      <c r="AG909" s="38"/>
    </row>
    <row r="910" spans="2:33" ht="12.95">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row>
    <row r="911" spans="2:33" ht="12.95">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c r="AE911" s="38"/>
      <c r="AF911" s="38"/>
      <c r="AG911" s="38"/>
    </row>
    <row r="912" spans="2:33" ht="12.95">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38"/>
    </row>
    <row r="913" spans="2:33" ht="12.95">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c r="AE913" s="38"/>
      <c r="AF913" s="38"/>
      <c r="AG913" s="38"/>
    </row>
    <row r="914" spans="2:33" ht="12.95">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c r="AE914" s="38"/>
      <c r="AF914" s="38"/>
      <c r="AG914" s="38"/>
    </row>
    <row r="915" spans="2:33" ht="12.95">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c r="AE915" s="38"/>
      <c r="AF915" s="38"/>
      <c r="AG915" s="38"/>
    </row>
    <row r="916" spans="2:33" ht="12.95">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c r="AE916" s="38"/>
      <c r="AF916" s="38"/>
      <c r="AG916" s="38"/>
    </row>
    <row r="917" spans="2:33" ht="12.95">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c r="AE917" s="38"/>
      <c r="AF917" s="38"/>
      <c r="AG917" s="38"/>
    </row>
    <row r="918" spans="2:33" ht="12.95">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c r="AE918" s="38"/>
      <c r="AF918" s="38"/>
      <c r="AG918" s="38"/>
    </row>
    <row r="919" spans="2:33" ht="12.95">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c r="AE919" s="38"/>
      <c r="AF919" s="38"/>
      <c r="AG919" s="38"/>
    </row>
    <row r="920" spans="2:33" ht="12.95">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c r="AE920" s="38"/>
      <c r="AF920" s="38"/>
      <c r="AG920" s="38"/>
    </row>
    <row r="921" spans="2:33" ht="12.95">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c r="AE921" s="38"/>
      <c r="AF921" s="38"/>
      <c r="AG921" s="38"/>
    </row>
    <row r="922" spans="2:33" ht="12.95">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row>
    <row r="923" spans="2:33" ht="12.95">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c r="AE923" s="38"/>
      <c r="AF923" s="38"/>
      <c r="AG923" s="38"/>
    </row>
    <row r="924" spans="2:33" ht="12.95">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c r="AE924" s="38"/>
      <c r="AF924" s="38"/>
      <c r="AG924" s="38"/>
    </row>
    <row r="925" spans="2:33" ht="12.95">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c r="AE925" s="38"/>
      <c r="AF925" s="38"/>
      <c r="AG925" s="38"/>
    </row>
    <row r="926" spans="2:33" ht="12.95">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c r="AE926" s="38"/>
      <c r="AF926" s="38"/>
      <c r="AG926" s="38"/>
    </row>
    <row r="927" spans="2:33" ht="12.95">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c r="AE927" s="38"/>
      <c r="AF927" s="38"/>
      <c r="AG927" s="38"/>
    </row>
    <row r="928" spans="2:33" ht="12.95">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c r="AE928" s="38"/>
      <c r="AF928" s="38"/>
      <c r="AG928" s="38"/>
    </row>
    <row r="929" spans="2:8" ht="12.95">
      <c r="B929" s="38"/>
      <c r="C929" s="38"/>
      <c r="D929" s="38"/>
      <c r="E929" s="38"/>
      <c r="F929" s="38"/>
      <c r="G929" s="38"/>
      <c r="H929" s="38"/>
    </row>
    <row r="930" spans="2:8" ht="12.95">
      <c r="B930" s="38"/>
      <c r="C930" s="38"/>
      <c r="D930" s="38"/>
      <c r="E930" s="38"/>
      <c r="F930" s="38"/>
      <c r="G930" s="38"/>
      <c r="H930" s="38"/>
    </row>
    <row r="931" spans="2:8" ht="12.95">
      <c r="B931" s="38"/>
      <c r="C931" s="38"/>
      <c r="D931" s="38"/>
      <c r="E931" s="38"/>
      <c r="F931" s="38"/>
      <c r="G931" s="38"/>
      <c r="H931" s="38"/>
    </row>
    <row r="932" spans="2:8" ht="12.95">
      <c r="B932" s="38"/>
      <c r="C932" s="38"/>
      <c r="D932" s="38"/>
      <c r="E932" s="38"/>
      <c r="F932" s="38"/>
      <c r="G932" s="38"/>
      <c r="H932" s="38"/>
    </row>
    <row r="933" spans="2:8" ht="12.95">
      <c r="B933" s="38"/>
      <c r="C933" s="38"/>
      <c r="D933" s="38"/>
      <c r="E933" s="38"/>
      <c r="F933" s="38"/>
      <c r="G933" s="38"/>
      <c r="H933" s="38"/>
    </row>
    <row r="934" spans="2:8" ht="12.95">
      <c r="B934" s="38"/>
      <c r="C934" s="38"/>
      <c r="D934" s="38"/>
      <c r="E934" s="38"/>
      <c r="F934" s="38"/>
      <c r="G934" s="38"/>
      <c r="H934" s="38"/>
    </row>
    <row r="935" spans="2:8" ht="12.95">
      <c r="B935" s="38"/>
      <c r="C935" s="38"/>
      <c r="D935" s="38"/>
      <c r="E935" s="38"/>
      <c r="F935" s="38"/>
      <c r="G935" s="38"/>
      <c r="H935" s="38"/>
    </row>
    <row r="936" spans="2:8" ht="12.95">
      <c r="B936" s="38"/>
      <c r="C936" s="38"/>
      <c r="D936" s="38"/>
      <c r="E936" s="38"/>
      <c r="F936" s="38"/>
      <c r="G936" s="38"/>
      <c r="H936" s="38"/>
    </row>
    <row r="937" spans="2:8" ht="12.95">
      <c r="B937" s="38"/>
      <c r="C937" s="38"/>
      <c r="D937" s="38"/>
      <c r="E937" s="38"/>
      <c r="F937" s="38"/>
      <c r="G937" s="38"/>
      <c r="H937" s="38"/>
    </row>
    <row r="938" spans="2:8" ht="12.95">
      <c r="B938" s="38"/>
      <c r="C938" s="38"/>
      <c r="D938" s="38"/>
      <c r="E938" s="38"/>
      <c r="F938" s="38"/>
      <c r="G938" s="38"/>
      <c r="H938" s="38"/>
    </row>
    <row r="939" spans="2:8" ht="12.95">
      <c r="B939" s="38"/>
      <c r="C939" s="38"/>
      <c r="D939" s="38"/>
      <c r="E939" s="38"/>
      <c r="F939" s="38"/>
      <c r="G939" s="38"/>
      <c r="H939" s="38"/>
    </row>
    <row r="940" spans="2:8" ht="12.95">
      <c r="B940" s="38"/>
      <c r="C940" s="38"/>
      <c r="D940" s="38"/>
      <c r="E940" s="38"/>
      <c r="F940" s="38"/>
      <c r="G940" s="38"/>
      <c r="H940" s="38"/>
    </row>
    <row r="941" spans="2:8" ht="12.95">
      <c r="B941" s="38"/>
      <c r="C941" s="38"/>
      <c r="D941" s="38"/>
      <c r="E941" s="38"/>
      <c r="F941" s="38"/>
      <c r="G941" s="38"/>
      <c r="H941" s="38"/>
    </row>
    <row r="942" spans="2:8" ht="12.95">
      <c r="B942" s="38"/>
      <c r="C942" s="38"/>
      <c r="D942" s="38"/>
      <c r="E942" s="38"/>
      <c r="F942" s="38"/>
      <c r="G942" s="38"/>
      <c r="H942" s="38"/>
    </row>
    <row r="943" spans="2:8" ht="12.95">
      <c r="B943" s="38"/>
      <c r="C943" s="38"/>
      <c r="D943" s="38"/>
      <c r="E943" s="38"/>
      <c r="F943" s="38"/>
      <c r="G943" s="38"/>
      <c r="H943" s="38"/>
    </row>
    <row r="944" spans="2:8" ht="12.95">
      <c r="B944" s="38"/>
      <c r="C944" s="38"/>
      <c r="D944" s="38"/>
      <c r="E944" s="38"/>
      <c r="F944" s="38"/>
      <c r="G944" s="38"/>
      <c r="H944" s="38"/>
    </row>
    <row r="945" spans="2:8" ht="12.95">
      <c r="B945" s="38"/>
      <c r="C945" s="38"/>
      <c r="D945" s="38"/>
      <c r="E945" s="38"/>
      <c r="F945" s="38"/>
      <c r="G945" s="38"/>
      <c r="H945" s="38"/>
    </row>
    <row r="946" spans="2:8" ht="12.95">
      <c r="B946" s="38"/>
      <c r="C946" s="38"/>
      <c r="D946" s="38"/>
      <c r="E946" s="38"/>
      <c r="F946" s="38"/>
      <c r="G946" s="38"/>
      <c r="H946" s="38"/>
    </row>
    <row r="947" spans="2:8" ht="12.95">
      <c r="B947" s="38"/>
      <c r="C947" s="38"/>
      <c r="D947" s="38"/>
      <c r="E947" s="38"/>
      <c r="F947" s="38"/>
      <c r="G947" s="38"/>
      <c r="H947" s="38"/>
    </row>
    <row r="948" spans="2:8" ht="12.95">
      <c r="B948" s="38"/>
      <c r="C948" s="38"/>
      <c r="D948" s="38"/>
      <c r="E948" s="38"/>
      <c r="F948" s="38"/>
      <c r="G948" s="38"/>
      <c r="H948" s="38"/>
    </row>
    <row r="949" spans="2:8" ht="12.95">
      <c r="B949" s="38"/>
      <c r="C949" s="38"/>
      <c r="D949" s="38"/>
      <c r="E949" s="38"/>
      <c r="F949" s="38"/>
      <c r="G949" s="38"/>
      <c r="H949" s="38"/>
    </row>
    <row r="950" spans="2:8" ht="12.95">
      <c r="B950" s="38"/>
      <c r="C950" s="38"/>
      <c r="D950" s="38"/>
      <c r="E950" s="38"/>
      <c r="F950" s="38"/>
      <c r="G950" s="38"/>
      <c r="H950" s="38"/>
    </row>
    <row r="951" spans="2:8" ht="12.95">
      <c r="B951" s="38"/>
      <c r="C951" s="38"/>
      <c r="D951" s="38"/>
      <c r="E951" s="38"/>
      <c r="F951" s="38"/>
      <c r="G951" s="38"/>
      <c r="H951" s="38"/>
    </row>
    <row r="952" spans="2:8" ht="12.95">
      <c r="B952" s="38"/>
      <c r="C952" s="38"/>
      <c r="D952" s="38"/>
      <c r="E952" s="38"/>
      <c r="F952" s="38"/>
      <c r="G952" s="38"/>
      <c r="H952" s="38"/>
    </row>
    <row r="953" spans="2:8" ht="12.95">
      <c r="B953" s="38"/>
      <c r="C953" s="38"/>
      <c r="D953" s="38"/>
      <c r="E953" s="38"/>
      <c r="F953" s="38"/>
      <c r="G953" s="38"/>
      <c r="H953" s="38"/>
    </row>
    <row r="954" spans="2:8" ht="12.95">
      <c r="B954" s="38"/>
      <c r="C954" s="38"/>
      <c r="D954" s="38"/>
      <c r="E954" s="38"/>
      <c r="F954" s="38"/>
      <c r="G954" s="38"/>
      <c r="H954" s="38"/>
    </row>
    <row r="955" spans="2:8" ht="12.95">
      <c r="B955" s="38"/>
      <c r="C955" s="38"/>
      <c r="D955" s="38"/>
      <c r="E955" s="38"/>
      <c r="F955" s="38"/>
      <c r="G955" s="38"/>
      <c r="H955" s="38"/>
    </row>
    <row r="956" spans="2:8" ht="12.95">
      <c r="B956" s="38"/>
      <c r="C956" s="38"/>
      <c r="D956" s="38"/>
      <c r="E956" s="38"/>
      <c r="F956" s="38"/>
      <c r="G956" s="38"/>
      <c r="H956" s="38"/>
    </row>
    <row r="957" spans="2:8" ht="12.95">
      <c r="B957" s="38"/>
      <c r="C957" s="38"/>
      <c r="D957" s="38"/>
      <c r="E957" s="38"/>
      <c r="F957" s="38"/>
      <c r="G957" s="38"/>
      <c r="H957" s="38"/>
    </row>
    <row r="958" spans="2:8" ht="12.95">
      <c r="B958" s="38"/>
      <c r="C958" s="38"/>
      <c r="D958" s="38"/>
      <c r="E958" s="38"/>
      <c r="F958" s="38"/>
      <c r="G958" s="38"/>
      <c r="H958" s="38"/>
    </row>
  </sheetData>
  <sheetProtection formatCells="0" formatColumns="0" formatRows="0" insertColumns="0" insertRows="0" insertHyperlinks="0" deleteColumns="0" deleteRows="0" sort="0" autoFilter="0" pivotTables="0"/>
  <mergeCells count="47">
    <mergeCell ref="AG28:AH28"/>
    <mergeCell ref="AI28:AJ28"/>
    <mergeCell ref="AK28:AL28"/>
    <mergeCell ref="AG4:AH4"/>
    <mergeCell ref="AI4:AJ4"/>
    <mergeCell ref="AK4:AL4"/>
    <mergeCell ref="AG15:AL15"/>
    <mergeCell ref="AG16:AH16"/>
    <mergeCell ref="AI16:AJ16"/>
    <mergeCell ref="AK16:AL16"/>
    <mergeCell ref="AG3:AL3"/>
    <mergeCell ref="Y4:Z4"/>
    <mergeCell ref="AC4:AD4"/>
    <mergeCell ref="AE4:AF4"/>
    <mergeCell ref="U4:V4"/>
    <mergeCell ref="AA4:AB4"/>
    <mergeCell ref="W4:X4"/>
    <mergeCell ref="AC16:AD16"/>
    <mergeCell ref="AE16:AF16"/>
    <mergeCell ref="O3:T3"/>
    <mergeCell ref="U3:Z3"/>
    <mergeCell ref="AA3:AF3"/>
    <mergeCell ref="O27:T27"/>
    <mergeCell ref="U27:Z27"/>
    <mergeCell ref="AA27:AF27"/>
    <mergeCell ref="AG27:AL27"/>
    <mergeCell ref="O4:P4"/>
    <mergeCell ref="Q4:R4"/>
    <mergeCell ref="S4:T4"/>
    <mergeCell ref="Q16:R16"/>
    <mergeCell ref="S16:T16"/>
    <mergeCell ref="O15:T15"/>
    <mergeCell ref="U15:Z15"/>
    <mergeCell ref="AA15:AF15"/>
    <mergeCell ref="U16:V16"/>
    <mergeCell ref="W16:X16"/>
    <mergeCell ref="Y16:Z16"/>
    <mergeCell ref="AA16:AB16"/>
    <mergeCell ref="Y28:Z28"/>
    <mergeCell ref="AA28:AB28"/>
    <mergeCell ref="AC28:AD28"/>
    <mergeCell ref="AE28:AF28"/>
    <mergeCell ref="O28:P28"/>
    <mergeCell ref="Q28:R28"/>
    <mergeCell ref="S28:T28"/>
    <mergeCell ref="U28:V28"/>
    <mergeCell ref="W28:X28"/>
  </mergeCells>
  <phoneticPr fontId="11" type="noConversion"/>
  <conditionalFormatting sqref="C3:C22 E3:E22 C25:C54 E25:E54 C56:C121">
    <cfRule type="cellIs" dxfId="38" priority="7" operator="equal">
      <formula>0</formula>
    </cfRule>
    <cfRule type="cellIs" dxfId="37" priority="8" operator="equal">
      <formula>4.17</formula>
    </cfRule>
  </conditionalFormatting>
  <conditionalFormatting sqref="C3:D22 F3:F121 C25:C54 D25:D121 C56:C121">
    <cfRule type="containsText" dxfId="36" priority="195" operator="containsText" text="No">
      <formula>NOT(ISERROR(SEARCH("No",C3)))</formula>
    </cfRule>
  </conditionalFormatting>
  <conditionalFormatting sqref="E56:E121">
    <cfRule type="cellIs" dxfId="35" priority="4" operator="equal">
      <formula>0</formula>
    </cfRule>
    <cfRule type="cellIs" dxfId="34" priority="5" operator="equal">
      <formula>4.17</formula>
    </cfRule>
  </conditionalFormatting>
  <conditionalFormatting sqref="E3:H22 E25:H54 E56:H121 F55:H55 F122:H122">
    <cfRule type="containsText" dxfId="33" priority="191" operator="containsText" text="Yes">
      <formula>NOT(ISERROR(SEARCH("Yes",E3)))</formula>
    </cfRule>
  </conditionalFormatting>
  <conditionalFormatting sqref="E3:H22 E25:H54 F55:H55 E56:H121 F122:H122">
    <cfRule type="containsText" dxfId="32" priority="192" operator="containsText" text="No">
      <formula>NOT(ISERROR(SEARCH("No",E3)))</formula>
    </cfRule>
  </conditionalFormatting>
  <conditionalFormatting sqref="F3:F121 C3:D22 C25:C54 C56:C121 D25:D121">
    <cfRule type="containsText" dxfId="31" priority="194" operator="containsText" text="No">
      <formula>NOT(ISERROR(SEARCH("No",C3)))</formula>
    </cfRule>
  </conditionalFormatting>
  <conditionalFormatting sqref="G3:G121">
    <cfRule type="cellIs" dxfId="30" priority="1" operator="equal">
      <formula>4.17</formula>
    </cfRule>
    <cfRule type="cellIs" dxfId="29" priority="2" operator="equal">
      <formula>0</formula>
    </cfRule>
  </conditionalFormatting>
  <pageMargins left="0.70866141732283472" right="0.70866141732283472" top="0.74803149606299213" bottom="0.74803149606299213" header="0.31496062992125984" footer="0.31496062992125984"/>
  <pageSetup paperSize="9" scale="80" orientation="landscape" horizontalDpi="360" verticalDpi="360" r:id="rId1"/>
  <headerFooter>
    <oddHeader>&amp;LPhosphate Budget Calculator&amp;CData Tables</oddHeader>
    <oddFooter>&amp;LVersion 2.2&amp;R&amp;D</oddFooter>
  </headerFooter>
  <customProperties>
    <customPr name="SSC_SHEET_GUID" r:id="rId2"/>
  </customProperties>
  <tableParts count="3">
    <tablePart r:id="rId3"/>
    <tablePart r:id="rId4"/>
    <tablePart r:id="rId5"/>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C2697-E527-4446-97B2-7CB2FF3A9419}">
  <sheetPr codeName="Sheet12">
    <tabColor theme="5" tint="0.79998168889431442"/>
    <pageSetUpPr fitToPage="1"/>
  </sheetPr>
  <dimension ref="A1:V59"/>
  <sheetViews>
    <sheetView workbookViewId="0"/>
  </sheetViews>
  <sheetFormatPr defaultRowHeight="12.6"/>
  <cols>
    <col min="1" max="1" width="2.7109375" customWidth="1"/>
    <col min="2" max="3" width="0.85546875" customWidth="1"/>
    <col min="4" max="4" width="6.42578125" hidden="1" customWidth="1"/>
    <col min="5" max="5" width="1" customWidth="1"/>
    <col min="6" max="6" width="5.5703125" customWidth="1"/>
    <col min="7" max="7" width="26" customWidth="1"/>
    <col min="10" max="10" width="8.85546875" customWidth="1"/>
    <col min="11" max="11" width="7.42578125" customWidth="1"/>
    <col min="12" max="12" width="12.42578125" customWidth="1"/>
    <col min="13" max="13" width="3.28515625" customWidth="1"/>
    <col min="14" max="14" width="2.140625" customWidth="1"/>
    <col min="15" max="15" width="8.85546875" customWidth="1"/>
    <col min="16" max="16" width="4.85546875" customWidth="1"/>
    <col min="17" max="17" width="6.5703125" customWidth="1"/>
    <col min="18" max="18" width="9.42578125" customWidth="1"/>
    <col min="19" max="19" width="6.5703125" customWidth="1"/>
    <col min="20" max="20" width="9.85546875" customWidth="1"/>
    <col min="21" max="21" width="12.7109375" customWidth="1"/>
    <col min="22" max="22" width="10.140625" customWidth="1"/>
    <col min="23" max="23" width="15.7109375" customWidth="1"/>
  </cols>
  <sheetData>
    <row r="1" spans="1:22" ht="13.5" thickBot="1">
      <c r="A1" s="38" t="s">
        <v>502</v>
      </c>
    </row>
    <row r="2" spans="1:22" ht="3.75" customHeight="1">
      <c r="B2" s="1"/>
      <c r="C2" s="2"/>
      <c r="D2" s="2"/>
      <c r="E2" s="2"/>
      <c r="F2" s="2"/>
      <c r="G2" s="2"/>
      <c r="H2" s="2"/>
      <c r="I2" s="2"/>
      <c r="J2" s="2"/>
      <c r="K2" s="2"/>
      <c r="L2" s="2"/>
      <c r="M2" s="2"/>
      <c r="N2" s="2"/>
      <c r="O2" s="2"/>
      <c r="P2" s="2"/>
      <c r="Q2" s="2"/>
      <c r="R2" s="2"/>
      <c r="S2" s="2"/>
      <c r="T2" s="2"/>
      <c r="U2" s="2"/>
      <c r="V2" s="3"/>
    </row>
    <row r="3" spans="1:22" ht="28.5" customHeight="1">
      <c r="B3" s="4"/>
      <c r="E3" s="40"/>
      <c r="F3" s="444" t="s">
        <v>503</v>
      </c>
      <c r="G3" s="444"/>
      <c r="H3" s="444"/>
      <c r="I3" s="444"/>
      <c r="J3" s="444"/>
      <c r="K3" s="444"/>
      <c r="L3" s="444"/>
      <c r="M3" s="444"/>
      <c r="N3" s="444"/>
      <c r="O3" s="444"/>
      <c r="P3" s="444"/>
      <c r="Q3" s="444"/>
      <c r="R3" s="444"/>
      <c r="S3" s="444"/>
      <c r="T3" s="444"/>
      <c r="U3" s="444"/>
      <c r="V3" s="45"/>
    </row>
    <row r="4" spans="1:22" ht="2.25" customHeight="1">
      <c r="B4" s="4"/>
      <c r="C4" s="11"/>
      <c r="E4" s="40"/>
      <c r="F4" s="149"/>
      <c r="G4" s="149"/>
      <c r="H4" s="149"/>
      <c r="I4" s="149"/>
      <c r="J4" s="149"/>
      <c r="K4" s="149"/>
      <c r="L4" s="149"/>
      <c r="M4" s="149"/>
      <c r="N4" s="149"/>
      <c r="O4" s="149"/>
      <c r="P4" s="149"/>
      <c r="Q4" s="149"/>
      <c r="R4" s="149"/>
      <c r="S4" s="149"/>
      <c r="T4" s="149"/>
      <c r="U4" s="149"/>
      <c r="V4" s="45"/>
    </row>
    <row r="5" spans="1:22" ht="15.6">
      <c r="B5" s="4"/>
      <c r="C5" s="11"/>
      <c r="E5" s="40"/>
      <c r="F5" s="149"/>
      <c r="G5" s="480" t="e">
        <f>IF(AND(T15&gt;0,T15&lt;100),"Proposed development has a 'Zero' value","Proposed development does not have a 'Zero' value")</f>
        <v>#DIV/0!</v>
      </c>
      <c r="H5" s="480"/>
      <c r="I5" s="480"/>
      <c r="J5" s="480"/>
      <c r="K5" s="480"/>
      <c r="L5" s="480"/>
      <c r="M5" s="480"/>
      <c r="N5" s="480"/>
      <c r="O5" s="480"/>
      <c r="P5" s="480"/>
      <c r="Q5" s="480"/>
      <c r="R5" s="480"/>
      <c r="S5" s="480"/>
      <c r="T5" s="480"/>
      <c r="U5" s="480"/>
      <c r="V5" s="45"/>
    </row>
    <row r="6" spans="1:22" ht="24.75" customHeight="1">
      <c r="B6" s="4"/>
      <c r="C6" s="5"/>
      <c r="E6" s="40"/>
      <c r="F6" s="149"/>
      <c r="G6" s="480"/>
      <c r="H6" s="480"/>
      <c r="I6" s="480"/>
      <c r="J6" s="480"/>
      <c r="K6" s="480"/>
      <c r="L6" s="480"/>
      <c r="M6" s="480"/>
      <c r="N6" s="480"/>
      <c r="O6" s="480"/>
      <c r="P6" s="480"/>
      <c r="Q6" s="480"/>
      <c r="R6" s="480"/>
      <c r="S6" s="480"/>
      <c r="T6" s="480"/>
      <c r="U6" s="480"/>
      <c r="V6" s="45"/>
    </row>
    <row r="7" spans="1:22" ht="11.25" customHeight="1">
      <c r="B7" s="4"/>
      <c r="C7" s="5"/>
      <c r="E7" s="40"/>
      <c r="F7" s="149"/>
      <c r="G7" s="434" t="s">
        <v>504</v>
      </c>
      <c r="H7" s="434"/>
      <c r="I7" s="434"/>
      <c r="J7" s="434"/>
      <c r="K7" s="434"/>
      <c r="L7" s="434"/>
      <c r="M7" s="434"/>
      <c r="N7" s="434"/>
      <c r="O7" s="434"/>
      <c r="P7" s="434"/>
      <c r="Q7" s="434"/>
      <c r="R7" s="434"/>
      <c r="S7" s="434"/>
      <c r="T7" s="434"/>
      <c r="U7" s="434"/>
      <c r="V7" s="45"/>
    </row>
    <row r="8" spans="1:22" ht="11.25" customHeight="1">
      <c r="B8" s="4"/>
      <c r="C8" s="5"/>
      <c r="E8" s="40"/>
      <c r="F8" s="149"/>
      <c r="G8" s="434"/>
      <c r="H8" s="434"/>
      <c r="I8" s="434"/>
      <c r="J8" s="434"/>
      <c r="K8" s="434"/>
      <c r="L8" s="434"/>
      <c r="M8" s="434"/>
      <c r="N8" s="434"/>
      <c r="O8" s="434"/>
      <c r="P8" s="434"/>
      <c r="Q8" s="434"/>
      <c r="R8" s="434"/>
      <c r="S8" s="434"/>
      <c r="T8" s="434"/>
      <c r="U8" s="434"/>
      <c r="V8" s="45"/>
    </row>
    <row r="9" spans="1:22" ht="11.25" customHeight="1">
      <c r="B9" s="4"/>
      <c r="C9" s="5"/>
      <c r="E9" s="40"/>
      <c r="F9" s="149"/>
      <c r="G9" s="434"/>
      <c r="H9" s="434"/>
      <c r="I9" s="434"/>
      <c r="J9" s="434"/>
      <c r="K9" s="434"/>
      <c r="L9" s="434"/>
      <c r="M9" s="434"/>
      <c r="N9" s="434"/>
      <c r="O9" s="434"/>
      <c r="P9" s="434"/>
      <c r="Q9" s="434"/>
      <c r="R9" s="434"/>
      <c r="S9" s="434"/>
      <c r="T9" s="434"/>
      <c r="U9" s="434"/>
      <c r="V9" s="45"/>
    </row>
    <row r="10" spans="1:22" ht="12" customHeight="1">
      <c r="B10" s="4"/>
      <c r="C10" s="5"/>
      <c r="E10" s="40"/>
      <c r="F10" s="149"/>
      <c r="G10" s="482" t="s">
        <v>505</v>
      </c>
      <c r="H10" s="482"/>
      <c r="I10" s="482"/>
      <c r="J10" s="482"/>
      <c r="K10" s="482"/>
      <c r="L10" s="482"/>
      <c r="M10" s="482"/>
      <c r="N10" s="482"/>
      <c r="O10" s="482"/>
      <c r="P10" s="482"/>
      <c r="Q10" s="482"/>
      <c r="R10" s="482"/>
      <c r="S10" s="482"/>
      <c r="T10" s="482"/>
      <c r="U10" s="482"/>
      <c r="V10" s="45"/>
    </row>
    <row r="11" spans="1:22" ht="12" customHeight="1">
      <c r="B11" s="4"/>
      <c r="C11" s="5"/>
      <c r="E11" s="40"/>
      <c r="F11" s="149"/>
      <c r="G11" s="254" t="s">
        <v>506</v>
      </c>
      <c r="H11" s="149"/>
      <c r="I11" s="149"/>
      <c r="J11" s="149"/>
      <c r="K11" s="149"/>
      <c r="L11" s="149"/>
      <c r="M11" s="149"/>
      <c r="N11" s="149"/>
      <c r="O11" s="149"/>
      <c r="P11" s="149"/>
      <c r="Q11" s="149"/>
      <c r="R11" s="149"/>
      <c r="S11" s="149"/>
      <c r="T11" s="149"/>
      <c r="U11" s="149"/>
      <c r="V11" s="45"/>
    </row>
    <row r="12" spans="1:22" ht="12" customHeight="1">
      <c r="B12" s="4"/>
      <c r="C12" s="5"/>
      <c r="E12" s="40"/>
      <c r="F12" s="149"/>
      <c r="G12" s="149"/>
      <c r="H12" s="149"/>
      <c r="I12" s="149"/>
      <c r="J12" s="149"/>
      <c r="K12" s="149"/>
      <c r="L12" s="149"/>
      <c r="M12" s="149"/>
      <c r="N12" s="149"/>
      <c r="O12" s="149"/>
      <c r="P12" s="149"/>
      <c r="Q12" s="149"/>
      <c r="R12" s="149"/>
      <c r="S12" s="149"/>
      <c r="T12" s="149"/>
      <c r="U12" s="149"/>
      <c r="V12" s="45"/>
    </row>
    <row r="13" spans="1:22" ht="15.6">
      <c r="B13" s="4"/>
      <c r="C13" s="5"/>
      <c r="E13" s="40"/>
      <c r="F13" s="149"/>
      <c r="G13" s="444" t="s">
        <v>507</v>
      </c>
      <c r="H13" s="444"/>
      <c r="I13" s="444"/>
      <c r="J13" s="444"/>
      <c r="K13" s="444"/>
      <c r="L13" s="444"/>
      <c r="M13" s="64"/>
      <c r="N13" s="47"/>
      <c r="O13" s="481" t="s">
        <v>508</v>
      </c>
      <c r="P13" s="481"/>
      <c r="Q13" s="481"/>
      <c r="R13" s="481"/>
      <c r="S13" s="481"/>
      <c r="T13" s="481"/>
      <c r="U13" s="481"/>
      <c r="V13" s="45"/>
    </row>
    <row r="14" spans="1:22" ht="15.6">
      <c r="B14" s="4"/>
      <c r="C14" s="5"/>
      <c r="E14" s="40"/>
      <c r="F14" s="149"/>
      <c r="G14" s="149"/>
      <c r="H14" s="149"/>
      <c r="I14" s="149"/>
      <c r="J14" s="149"/>
      <c r="K14" s="149" t="s">
        <v>145</v>
      </c>
      <c r="L14" s="149" t="s">
        <v>327</v>
      </c>
      <c r="M14" s="149"/>
      <c r="N14" s="149"/>
      <c r="O14" s="149"/>
      <c r="P14" s="149"/>
      <c r="Q14" s="149"/>
      <c r="R14" s="149"/>
      <c r="S14" s="149"/>
      <c r="T14" s="103" t="s">
        <v>145</v>
      </c>
      <c r="U14" s="103" t="s">
        <v>327</v>
      </c>
      <c r="V14" s="45"/>
    </row>
    <row r="15" spans="1:22" ht="12" customHeight="1">
      <c r="B15" s="4"/>
      <c r="C15" s="5"/>
      <c r="E15" s="40"/>
      <c r="F15" s="149"/>
      <c r="G15" s="394" t="s">
        <v>509</v>
      </c>
      <c r="H15" s="394"/>
      <c r="I15" s="394"/>
      <c r="J15" s="394"/>
      <c r="K15" s="243">
        <f>'Stage 1'!V11+'Stage 1'!V14+'Stage 1'!V17</f>
        <v>0</v>
      </c>
      <c r="L15" s="244" t="s">
        <v>149</v>
      </c>
      <c r="M15" s="149"/>
      <c r="N15" s="149"/>
      <c r="O15" s="394" t="s">
        <v>510</v>
      </c>
      <c r="P15" s="394"/>
      <c r="Q15" s="394"/>
      <c r="R15" s="394"/>
      <c r="S15" s="394"/>
      <c r="T15" s="245" t="e">
        <f>-(INTERCEPT('Graph Calculations'!F14:Z14,'Graph Calculations'!F5:Z5))/(SLOPE('Graph Calculations'!F14:Z14,'Graph Calculations'!F5:Z5))</f>
        <v>#DIV/0!</v>
      </c>
      <c r="U15" s="205" t="s">
        <v>162</v>
      </c>
      <c r="V15" s="45"/>
    </row>
    <row r="16" spans="1:22" ht="15.6">
      <c r="B16" s="4"/>
      <c r="C16" s="5"/>
      <c r="E16" s="40"/>
      <c r="F16" s="149"/>
      <c r="G16" s="394" t="s">
        <v>511</v>
      </c>
      <c r="H16" s="394"/>
      <c r="I16" s="394"/>
      <c r="J16" s="394"/>
      <c r="K16" s="245">
        <f>'Stage 2'!K38</f>
        <v>0</v>
      </c>
      <c r="L16" s="244" t="s">
        <v>222</v>
      </c>
      <c r="M16" s="149"/>
      <c r="N16" s="149"/>
      <c r="O16" s="394" t="s">
        <v>512</v>
      </c>
      <c r="P16" s="394"/>
      <c r="Q16" s="394"/>
      <c r="R16" s="394"/>
      <c r="S16" s="394"/>
      <c r="T16" s="245" t="e">
        <f>-'Graph Calculations'!AB11</f>
        <v>#DIV/0!</v>
      </c>
      <c r="U16" s="246" t="s">
        <v>199</v>
      </c>
      <c r="V16" s="45"/>
    </row>
    <row r="17" spans="2:22" ht="3.95" customHeight="1">
      <c r="B17" s="4"/>
      <c r="C17" s="5"/>
      <c r="E17" s="40"/>
      <c r="F17" s="149"/>
      <c r="G17" s="47"/>
      <c r="H17" s="149"/>
      <c r="I17" s="149"/>
      <c r="J17" s="149"/>
      <c r="K17" s="47"/>
      <c r="L17" s="153"/>
      <c r="M17" s="149"/>
      <c r="N17" s="149"/>
      <c r="O17" s="47"/>
      <c r="P17" s="149"/>
      <c r="Q17" s="149"/>
      <c r="R17" s="149"/>
      <c r="S17" s="149"/>
      <c r="T17" s="47"/>
      <c r="U17" s="205"/>
      <c r="V17" s="45"/>
    </row>
    <row r="18" spans="2:22" ht="15.6">
      <c r="B18" s="4"/>
      <c r="C18" s="5"/>
      <c r="E18" s="40"/>
      <c r="F18" s="149"/>
      <c r="G18" s="393" t="s">
        <v>513</v>
      </c>
      <c r="H18" s="393"/>
      <c r="I18" s="393"/>
      <c r="J18" s="393"/>
      <c r="K18" s="393"/>
      <c r="L18" s="153"/>
      <c r="M18" s="149"/>
      <c r="N18" s="149"/>
      <c r="O18" s="393" t="s">
        <v>514</v>
      </c>
      <c r="P18" s="393"/>
      <c r="Q18" s="393"/>
      <c r="R18" s="393"/>
      <c r="S18" s="393"/>
      <c r="T18" s="247" t="e">
        <f>IF('Graph Calculations'!AB12&gt;$K$15,$K$15,'Graph Calculations'!AB12)</f>
        <v>#DIV/0!</v>
      </c>
      <c r="U18" s="248" t="s">
        <v>149</v>
      </c>
      <c r="V18" s="45"/>
    </row>
    <row r="19" spans="2:22" ht="15.6">
      <c r="B19" s="4"/>
      <c r="C19" s="5"/>
      <c r="E19" s="40"/>
      <c r="F19" s="149"/>
      <c r="G19" s="394" t="s">
        <v>515</v>
      </c>
      <c r="H19" s="394"/>
      <c r="I19" s="394"/>
      <c r="J19" s="394"/>
      <c r="K19" s="245">
        <f>'Stage 2'!K48</f>
        <v>0</v>
      </c>
      <c r="L19" s="244" t="s">
        <v>199</v>
      </c>
      <c r="M19" s="149"/>
      <c r="N19" s="149"/>
      <c r="O19" s="47"/>
      <c r="P19" s="149"/>
      <c r="Q19" s="149"/>
      <c r="R19" s="149"/>
      <c r="S19" s="239"/>
      <c r="T19" s="149"/>
      <c r="U19" s="205"/>
      <c r="V19" s="45"/>
    </row>
    <row r="20" spans="2:22" ht="15.6">
      <c r="B20" s="4"/>
      <c r="C20" s="5"/>
      <c r="E20" s="40"/>
      <c r="F20" s="149"/>
      <c r="G20" s="47"/>
      <c r="H20" s="149"/>
      <c r="I20" s="149"/>
      <c r="J20" s="149"/>
      <c r="K20" s="47"/>
      <c r="L20" s="153"/>
      <c r="M20" s="149"/>
      <c r="N20" s="149"/>
      <c r="O20" s="479"/>
      <c r="P20" s="479"/>
      <c r="Q20" s="479"/>
      <c r="R20" s="479"/>
      <c r="S20" s="479"/>
      <c r="T20" s="200"/>
      <c r="U20" s="283"/>
      <c r="V20" s="45"/>
    </row>
    <row r="21" spans="2:22" ht="15.6">
      <c r="B21" s="4"/>
      <c r="C21" s="5"/>
      <c r="E21" s="40"/>
      <c r="F21" s="149"/>
      <c r="G21" s="393" t="s">
        <v>516</v>
      </c>
      <c r="H21" s="393"/>
      <c r="I21" s="393"/>
      <c r="J21" s="393"/>
      <c r="K21" s="393"/>
      <c r="L21" s="153"/>
      <c r="M21" s="149"/>
      <c r="N21" s="149"/>
      <c r="O21" s="47"/>
      <c r="P21" s="149"/>
      <c r="Q21" s="149"/>
      <c r="R21" s="149"/>
      <c r="S21" s="149"/>
      <c r="T21" s="47"/>
      <c r="U21" s="149"/>
      <c r="V21" s="45"/>
    </row>
    <row r="22" spans="2:22" ht="2.25" customHeight="1">
      <c r="B22" s="4"/>
      <c r="C22" s="5"/>
      <c r="E22" s="40"/>
      <c r="F22" s="149"/>
      <c r="G22" s="47"/>
      <c r="H22" s="149"/>
      <c r="I22" s="149"/>
      <c r="J22" s="149"/>
      <c r="K22" s="47"/>
      <c r="L22" s="153"/>
      <c r="M22" s="149"/>
      <c r="N22" s="149"/>
      <c r="O22" s="148"/>
      <c r="P22" s="148"/>
      <c r="Q22" s="148"/>
      <c r="R22" s="148"/>
      <c r="S22" s="148"/>
      <c r="T22" s="148"/>
      <c r="U22" s="148"/>
      <c r="V22" s="45"/>
    </row>
    <row r="23" spans="2:22" ht="15.6">
      <c r="B23" s="4"/>
      <c r="C23" s="5"/>
      <c r="E23" s="40"/>
      <c r="F23" s="149"/>
      <c r="G23" s="394" t="s">
        <v>517</v>
      </c>
      <c r="H23" s="394"/>
      <c r="I23" s="394"/>
      <c r="J23" s="394"/>
      <c r="K23" s="245">
        <f>'Stage 4'!K12</f>
        <v>0</v>
      </c>
      <c r="L23" s="244" t="s">
        <v>199</v>
      </c>
      <c r="M23" s="149"/>
      <c r="N23" s="149"/>
      <c r="O23" s="393"/>
      <c r="P23" s="393"/>
      <c r="Q23" s="393"/>
      <c r="R23" s="393"/>
      <c r="S23" s="393"/>
      <c r="T23" s="284"/>
      <c r="U23" s="248"/>
      <c r="V23" s="45"/>
    </row>
    <row r="24" spans="2:22" ht="15.6">
      <c r="B24" s="4"/>
      <c r="C24" s="5"/>
      <c r="E24" s="40"/>
      <c r="F24" s="149"/>
      <c r="G24" s="394" t="s">
        <v>255</v>
      </c>
      <c r="H24" s="394"/>
      <c r="I24" s="394"/>
      <c r="J24" s="394"/>
      <c r="K24" s="245">
        <f>'Stage 3'!K53</f>
        <v>0</v>
      </c>
      <c r="L24" s="244" t="s">
        <v>199</v>
      </c>
      <c r="M24" s="149"/>
      <c r="N24" s="149"/>
      <c r="O24" s="149"/>
      <c r="P24" s="149"/>
      <c r="Q24" s="149"/>
      <c r="R24" s="149"/>
      <c r="S24" s="149"/>
      <c r="T24" s="149"/>
      <c r="U24" s="149"/>
      <c r="V24" s="45"/>
    </row>
    <row r="25" spans="2:22" ht="15.6">
      <c r="B25" s="4"/>
      <c r="C25" s="5"/>
      <c r="E25" s="40"/>
      <c r="F25" s="149"/>
      <c r="G25" s="149"/>
      <c r="H25" s="149"/>
      <c r="I25" s="149"/>
      <c r="J25" s="149"/>
      <c r="K25" s="239"/>
      <c r="L25" s="239"/>
      <c r="M25" s="149"/>
      <c r="N25" s="149"/>
      <c r="O25" s="149"/>
      <c r="P25" s="149"/>
      <c r="Q25" s="149"/>
      <c r="R25" s="149"/>
      <c r="S25" s="149"/>
      <c r="T25" s="149"/>
      <c r="U25" s="149"/>
      <c r="V25" s="45"/>
    </row>
    <row r="26" spans="2:22" ht="15.6">
      <c r="B26" s="4"/>
      <c r="C26" s="5"/>
      <c r="E26" s="40"/>
      <c r="F26" s="149"/>
      <c r="G26" s="149"/>
      <c r="H26" s="149"/>
      <c r="I26" s="149"/>
      <c r="J26" s="149"/>
      <c r="K26" s="149"/>
      <c r="L26" s="149"/>
      <c r="M26" s="149"/>
      <c r="N26" s="149"/>
      <c r="O26" s="152"/>
      <c r="P26" s="149"/>
      <c r="Q26" s="149"/>
      <c r="R26" s="149"/>
      <c r="S26" s="149"/>
      <c r="T26" s="149"/>
      <c r="U26" s="149"/>
      <c r="V26" s="45"/>
    </row>
    <row r="27" spans="2:22" ht="6" customHeight="1">
      <c r="B27" s="4"/>
      <c r="C27" s="5"/>
      <c r="E27" s="40"/>
      <c r="F27" s="149"/>
      <c r="G27" s="149"/>
      <c r="H27" s="149"/>
      <c r="I27" s="149"/>
      <c r="J27" s="149"/>
      <c r="K27" s="149"/>
      <c r="L27" s="149"/>
      <c r="M27" s="149"/>
      <c r="N27" s="149"/>
      <c r="O27" s="149"/>
      <c r="P27" s="149"/>
      <c r="Q27" s="149"/>
      <c r="R27" s="149"/>
      <c r="S27" s="149"/>
      <c r="T27" s="149"/>
      <c r="U27" s="149"/>
      <c r="V27" s="45"/>
    </row>
    <row r="28" spans="2:22" ht="15.95" customHeight="1">
      <c r="B28" s="4"/>
      <c r="C28" s="5"/>
      <c r="E28" s="40"/>
      <c r="F28" s="149"/>
      <c r="G28" s="149"/>
      <c r="H28" s="149"/>
      <c r="I28" s="149"/>
      <c r="J28" s="149"/>
      <c r="K28" s="149"/>
      <c r="L28" s="149"/>
      <c r="M28" s="149"/>
      <c r="N28" s="149"/>
      <c r="O28" s="149"/>
      <c r="P28" s="149"/>
      <c r="Q28" s="149"/>
      <c r="R28" s="149"/>
      <c r="S28" s="149"/>
      <c r="T28" s="149"/>
      <c r="U28" s="149"/>
      <c r="V28" s="45"/>
    </row>
    <row r="29" spans="2:22" ht="15" customHeight="1">
      <c r="B29" s="4"/>
      <c r="C29" s="5"/>
      <c r="E29" s="40"/>
      <c r="F29" s="149"/>
      <c r="G29" s="149"/>
      <c r="H29" s="149"/>
      <c r="I29" s="149"/>
      <c r="J29" s="149"/>
      <c r="K29" s="239"/>
      <c r="L29" s="239"/>
      <c r="M29" s="149"/>
      <c r="N29" s="149"/>
      <c r="O29" s="149"/>
      <c r="P29" s="149"/>
      <c r="Q29" s="149"/>
      <c r="R29" s="149"/>
      <c r="S29" s="239"/>
      <c r="T29" s="239"/>
      <c r="U29" s="149"/>
      <c r="V29" s="45"/>
    </row>
    <row r="30" spans="2:22" ht="15.6">
      <c r="B30" s="4"/>
      <c r="C30" s="5"/>
      <c r="D30" t="s">
        <v>518</v>
      </c>
      <c r="E30" s="40"/>
      <c r="F30" s="149"/>
      <c r="G30" s="149"/>
      <c r="H30" s="149"/>
      <c r="I30" s="149"/>
      <c r="J30" s="149"/>
      <c r="K30" s="239"/>
      <c r="L30" s="239"/>
      <c r="M30" s="149"/>
      <c r="N30" s="149"/>
      <c r="O30" s="149"/>
      <c r="P30" s="149"/>
      <c r="Q30" s="149"/>
      <c r="R30" s="149"/>
      <c r="S30" s="239"/>
      <c r="T30" s="239"/>
      <c r="U30" s="149"/>
      <c r="V30" s="45"/>
    </row>
    <row r="31" spans="2:22" ht="12.75" customHeight="1">
      <c r="B31" s="4"/>
      <c r="C31" s="5"/>
      <c r="E31" s="40"/>
      <c r="F31" s="149"/>
      <c r="G31" s="149"/>
      <c r="H31" s="149"/>
      <c r="I31" s="149"/>
      <c r="J31" s="149"/>
      <c r="K31" s="149"/>
      <c r="L31" s="149"/>
      <c r="M31" s="149"/>
      <c r="N31" s="149"/>
      <c r="O31" s="149"/>
      <c r="P31" s="149"/>
      <c r="Q31" s="149"/>
      <c r="R31" s="149"/>
      <c r="S31" s="149"/>
      <c r="T31" s="149"/>
      <c r="U31" s="149"/>
      <c r="V31" s="45"/>
    </row>
    <row r="32" spans="2:22" ht="23.45" customHeight="1">
      <c r="B32" s="4"/>
      <c r="C32" s="5"/>
      <c r="D32" t="s">
        <v>519</v>
      </c>
      <c r="E32" s="40"/>
      <c r="F32" s="149"/>
      <c r="G32" s="152"/>
      <c r="H32" s="149"/>
      <c r="I32" s="149"/>
      <c r="J32" s="149"/>
      <c r="K32" s="239"/>
      <c r="L32" s="239"/>
      <c r="M32" s="149"/>
      <c r="N32" s="149"/>
      <c r="O32" s="149"/>
      <c r="P32" s="149"/>
      <c r="Q32" s="149"/>
      <c r="R32" s="149"/>
      <c r="S32" s="239"/>
      <c r="T32" s="239"/>
      <c r="U32" s="149"/>
      <c r="V32" s="45"/>
    </row>
    <row r="33" spans="2:22" ht="1.5" customHeight="1">
      <c r="B33" s="4"/>
      <c r="C33" s="5"/>
      <c r="E33" s="40"/>
      <c r="F33" s="149"/>
      <c r="G33" s="149"/>
      <c r="H33" s="149"/>
      <c r="I33" s="149"/>
      <c r="J33" s="149"/>
      <c r="K33" s="149"/>
      <c r="L33" s="149"/>
      <c r="M33" s="149"/>
      <c r="N33" s="149"/>
      <c r="O33" s="149"/>
      <c r="P33" s="149"/>
      <c r="Q33" s="149"/>
      <c r="R33" s="149"/>
      <c r="S33" s="149"/>
      <c r="T33" s="149"/>
      <c r="U33" s="149"/>
      <c r="V33" s="45"/>
    </row>
    <row r="34" spans="2:22" ht="15.6">
      <c r="B34" s="4"/>
      <c r="C34" s="5"/>
      <c r="D34" t="s">
        <v>520</v>
      </c>
      <c r="E34" s="40"/>
      <c r="F34" s="149"/>
      <c r="G34" s="149"/>
      <c r="H34" s="149"/>
      <c r="I34" s="149"/>
      <c r="J34" s="149"/>
      <c r="K34" s="149"/>
      <c r="L34" s="149"/>
      <c r="M34" s="149"/>
      <c r="N34" s="149"/>
      <c r="O34" s="149"/>
      <c r="P34" s="149"/>
      <c r="Q34" s="149"/>
      <c r="R34" s="149"/>
      <c r="S34" s="149"/>
      <c r="T34" s="149"/>
      <c r="U34" s="149"/>
      <c r="V34" s="45"/>
    </row>
    <row r="35" spans="2:22" ht="15.6">
      <c r="B35" s="4"/>
      <c r="C35" s="5"/>
      <c r="E35" s="51"/>
      <c r="F35" s="195"/>
      <c r="G35" s="195"/>
      <c r="H35" s="149"/>
      <c r="I35" s="149"/>
      <c r="J35" s="149"/>
      <c r="K35" s="149"/>
      <c r="L35" s="149"/>
      <c r="M35" s="149"/>
      <c r="N35" s="149"/>
      <c r="O35" s="149"/>
      <c r="P35" s="149"/>
      <c r="Q35" s="149"/>
      <c r="R35" s="149"/>
      <c r="S35" s="149"/>
      <c r="T35" s="149"/>
      <c r="U35" s="149"/>
      <c r="V35" s="45"/>
    </row>
    <row r="36" spans="2:22" ht="6.75" customHeight="1">
      <c r="B36" s="4"/>
      <c r="C36" s="5"/>
      <c r="E36" s="40"/>
      <c r="F36" s="149"/>
      <c r="G36" s="149"/>
      <c r="H36" s="149"/>
      <c r="I36" s="149"/>
      <c r="J36" s="149"/>
      <c r="K36" s="149"/>
      <c r="L36" s="149"/>
      <c r="M36" s="149"/>
      <c r="N36" s="149"/>
      <c r="O36" s="149"/>
      <c r="P36" s="149"/>
      <c r="Q36" s="149"/>
      <c r="R36" s="149"/>
      <c r="S36" s="149"/>
      <c r="T36" s="149"/>
      <c r="U36" s="149"/>
      <c r="V36" s="45"/>
    </row>
    <row r="37" spans="2:22" ht="15.6">
      <c r="B37" s="4"/>
      <c r="C37" s="5"/>
      <c r="E37" s="40"/>
      <c r="F37" s="149"/>
      <c r="G37" s="149"/>
      <c r="H37" s="149"/>
      <c r="I37" s="149"/>
      <c r="J37" s="149"/>
      <c r="K37" s="149"/>
      <c r="L37" s="149"/>
      <c r="M37" s="149"/>
      <c r="N37" s="149"/>
      <c r="O37" s="149"/>
      <c r="P37" s="149"/>
      <c r="Q37" s="149"/>
      <c r="R37" s="149"/>
      <c r="S37" s="149"/>
      <c r="T37" s="149"/>
      <c r="U37" s="149"/>
      <c r="V37" s="45"/>
    </row>
    <row r="38" spans="2:22" ht="15.6">
      <c r="B38" s="4"/>
      <c r="C38" s="5"/>
      <c r="E38" s="40"/>
      <c r="F38" s="149"/>
      <c r="G38" s="152"/>
      <c r="H38" s="149"/>
      <c r="I38" s="149"/>
      <c r="J38" s="149"/>
      <c r="K38" s="149"/>
      <c r="L38" s="149"/>
      <c r="M38" s="149"/>
      <c r="N38" s="149"/>
      <c r="O38" s="149"/>
      <c r="P38" s="149"/>
      <c r="Q38" s="149"/>
      <c r="R38" s="149"/>
      <c r="S38" s="149"/>
      <c r="T38" s="149"/>
      <c r="U38" s="149"/>
      <c r="V38" s="45"/>
    </row>
    <row r="39" spans="2:22" ht="15.6">
      <c r="B39" s="4"/>
      <c r="C39" s="5"/>
      <c r="E39" s="40"/>
      <c r="F39" s="149"/>
      <c r="G39" s="149"/>
      <c r="H39" s="149"/>
      <c r="I39" s="149"/>
      <c r="J39" s="149"/>
      <c r="K39" s="149"/>
      <c r="L39" s="149"/>
      <c r="M39" s="149"/>
      <c r="N39" s="149"/>
      <c r="O39" s="149"/>
      <c r="P39" s="149"/>
      <c r="Q39" s="149"/>
      <c r="R39" s="149"/>
      <c r="S39" s="149"/>
      <c r="T39" s="149"/>
      <c r="U39" s="149"/>
      <c r="V39" s="45"/>
    </row>
    <row r="40" spans="2:22" ht="12.75" customHeight="1">
      <c r="B40" s="4"/>
      <c r="C40" s="5"/>
      <c r="E40" s="40"/>
      <c r="F40" s="149"/>
      <c r="G40" s="149"/>
      <c r="H40" s="149"/>
      <c r="I40" s="149"/>
      <c r="J40" s="149"/>
      <c r="K40" s="149"/>
      <c r="L40" s="149"/>
      <c r="M40" s="149"/>
      <c r="N40" s="149"/>
      <c r="O40" s="149"/>
      <c r="P40" s="149"/>
      <c r="Q40" s="149"/>
      <c r="R40" s="149"/>
      <c r="S40" s="149"/>
      <c r="T40" s="149"/>
      <c r="U40" s="149"/>
      <c r="V40" s="45"/>
    </row>
    <row r="41" spans="2:22" ht="35.450000000000003" customHeight="1">
      <c r="B41" s="4"/>
      <c r="C41" s="5"/>
      <c r="E41" s="40"/>
      <c r="F41" s="149"/>
      <c r="G41" s="149"/>
      <c r="H41" s="149"/>
      <c r="I41" s="149"/>
      <c r="J41" s="149"/>
      <c r="K41" s="149"/>
      <c r="L41" s="149"/>
      <c r="M41" s="149"/>
      <c r="N41" s="149"/>
      <c r="O41" s="149"/>
      <c r="P41" s="149"/>
      <c r="Q41" s="149"/>
      <c r="R41" s="149"/>
      <c r="S41" s="149"/>
      <c r="T41" s="149"/>
      <c r="U41" s="149"/>
      <c r="V41" s="45"/>
    </row>
    <row r="42" spans="2:22" ht="12.95" customHeight="1">
      <c r="B42" s="4"/>
      <c r="C42" s="5"/>
      <c r="E42" s="40"/>
      <c r="F42" s="149"/>
      <c r="G42" s="149"/>
      <c r="H42" s="149"/>
      <c r="I42" s="149"/>
      <c r="J42" s="149"/>
      <c r="K42" s="149"/>
      <c r="L42" s="149"/>
      <c r="M42" s="149"/>
      <c r="N42" s="149"/>
      <c r="O42" s="149"/>
      <c r="P42" s="149"/>
      <c r="Q42" s="149"/>
      <c r="R42" s="149"/>
      <c r="S42" s="149"/>
      <c r="T42" s="149"/>
      <c r="U42" s="149"/>
      <c r="V42" s="45"/>
    </row>
    <row r="43" spans="2:22" ht="12.95" customHeight="1">
      <c r="B43" s="4"/>
      <c r="C43" s="5"/>
      <c r="E43" s="40"/>
      <c r="F43" s="149"/>
      <c r="G43" s="149"/>
      <c r="H43" s="149"/>
      <c r="I43" s="149"/>
      <c r="J43" s="149"/>
      <c r="K43" s="149"/>
      <c r="L43" s="149"/>
      <c r="M43" s="149"/>
      <c r="N43" s="149"/>
      <c r="O43" s="149"/>
      <c r="P43" s="149"/>
      <c r="Q43" s="149"/>
      <c r="R43" s="149"/>
      <c r="S43" s="149"/>
      <c r="T43" s="149"/>
      <c r="U43" s="149"/>
      <c r="V43" s="45"/>
    </row>
    <row r="44" spans="2:22" ht="19.5" customHeight="1" thickBot="1">
      <c r="B44" s="7"/>
      <c r="C44" s="8"/>
      <c r="D44" s="35"/>
      <c r="E44" s="49"/>
      <c r="F44" s="49"/>
      <c r="G44" s="49"/>
      <c r="H44" s="56"/>
      <c r="I44" s="49"/>
      <c r="J44" s="49"/>
      <c r="K44" s="49"/>
      <c r="L44" s="49"/>
      <c r="M44" s="49"/>
      <c r="N44" s="49"/>
      <c r="O44" s="49"/>
      <c r="P44" s="49"/>
      <c r="Q44" s="49"/>
      <c r="R44" s="49"/>
      <c r="S44" s="49"/>
      <c r="T44" s="49"/>
      <c r="U44" s="49"/>
      <c r="V44" s="50"/>
    </row>
    <row r="59" spans="10:18" ht="12.95">
      <c r="J59" s="16"/>
      <c r="K59" s="16"/>
      <c r="L59" s="16"/>
      <c r="M59" s="16"/>
      <c r="N59" s="16"/>
      <c r="O59" s="16"/>
      <c r="P59" s="16"/>
      <c r="Q59" s="16"/>
      <c r="R59" s="16"/>
    </row>
  </sheetData>
  <sheetProtection selectLockedCells="1"/>
  <dataConsolidate/>
  <mergeCells count="18">
    <mergeCell ref="F3:U3"/>
    <mergeCell ref="G5:U6"/>
    <mergeCell ref="G7:U9"/>
    <mergeCell ref="G13:L13"/>
    <mergeCell ref="O13:U13"/>
    <mergeCell ref="G10:U10"/>
    <mergeCell ref="G24:J24"/>
    <mergeCell ref="O15:S15"/>
    <mergeCell ref="O16:S16"/>
    <mergeCell ref="O18:S18"/>
    <mergeCell ref="G15:J15"/>
    <mergeCell ref="G16:J16"/>
    <mergeCell ref="G18:K18"/>
    <mergeCell ref="G19:J19"/>
    <mergeCell ref="G21:K21"/>
    <mergeCell ref="G23:J23"/>
    <mergeCell ref="O20:S20"/>
    <mergeCell ref="O23:S23"/>
  </mergeCells>
  <conditionalFormatting sqref="G5:U6">
    <cfRule type="containsText" dxfId="1" priority="1" operator="containsText" text="not">
      <formula>NOT(ISERROR(SEARCH("not",G5)))</formula>
    </cfRule>
    <cfRule type="containsText" dxfId="0" priority="2" operator="containsText" text="has">
      <formula>NOT(ISERROR(SEARCH("has",G5)))</formula>
    </cfRule>
  </conditionalFormatting>
  <dataValidations count="1">
    <dataValidation type="list" allowBlank="1" showInputMessage="1" showErrorMessage="1" sqref="G11" xr:uid="{7A567102-E55A-4687-A786-44C8EC9C72E5}">
      <formula1>"House, Hotel / quest house"</formula1>
    </dataValidation>
  </dataValidations>
  <pageMargins left="0.70866141732283472" right="0.70866141732283472" top="0.74803149606299213" bottom="0.74803149606299213" header="0.31496062992125984" footer="0.31496062992125984"/>
  <pageSetup paperSize="9" scale="81" orientation="landscape" horizontalDpi="360" verticalDpi="360" r:id="rId1"/>
  <headerFooter>
    <oddHeader>&amp;LPhosphate Budget Calculator&amp;CStage 4</oddHeader>
    <oddFooter>&amp;LVersion 2.2&amp;R&amp;D</oddFooter>
  </headerFooter>
  <customProperties>
    <customPr name="SSC_SHEET_GU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18237-27E1-4B8C-80DC-748C21B6732C}">
  <sheetPr codeName="Sheet13">
    <tabColor theme="5" tint="0.79998168889431442"/>
    <pageSetUpPr fitToPage="1"/>
  </sheetPr>
  <dimension ref="B1:AB56"/>
  <sheetViews>
    <sheetView workbookViewId="0"/>
  </sheetViews>
  <sheetFormatPr defaultRowHeight="12.6"/>
  <cols>
    <col min="2" max="3" width="0.85546875" customWidth="1"/>
    <col min="4" max="4" width="6.42578125" hidden="1" customWidth="1"/>
    <col min="5" max="5" width="30.5703125" customWidth="1"/>
    <col min="6" max="6" width="8" customWidth="1"/>
    <col min="7" max="7" width="8.28515625" customWidth="1"/>
    <col min="8" max="8" width="7" customWidth="1"/>
    <col min="9" max="9" width="9.140625" customWidth="1"/>
    <col min="10" max="10" width="6.5703125" customWidth="1"/>
    <col min="11" max="11" width="7.42578125" customWidth="1"/>
    <col min="12" max="12" width="7.85546875" customWidth="1"/>
    <col min="13" max="13" width="7.42578125" customWidth="1"/>
    <col min="14" max="14" width="7.85546875" customWidth="1"/>
    <col min="15" max="15" width="6.85546875" customWidth="1"/>
    <col min="16" max="16" width="7.5703125" customWidth="1"/>
    <col min="17" max="17" width="8.140625" customWidth="1"/>
    <col min="18" max="18" width="7.42578125" customWidth="1"/>
    <col min="19" max="19" width="7.5703125" customWidth="1"/>
    <col min="20" max="21" width="7.140625" customWidth="1"/>
    <col min="22" max="22" width="8.42578125" customWidth="1"/>
    <col min="23" max="23" width="9.5703125" customWidth="1"/>
    <col min="24" max="24" width="7.42578125" customWidth="1"/>
    <col min="25" max="25" width="8.42578125" customWidth="1"/>
    <col min="26" max="26" width="8" customWidth="1"/>
    <col min="27" max="27" width="3.85546875" customWidth="1"/>
    <col min="28" max="28" width="17.140625" customWidth="1"/>
  </cols>
  <sheetData>
    <row r="1" spans="2:28" ht="12.95" thickBot="1"/>
    <row r="2" spans="2:28" ht="3.75" customHeight="1">
      <c r="B2" s="1"/>
      <c r="C2" s="2"/>
      <c r="D2" s="2"/>
      <c r="E2" s="2"/>
      <c r="F2" s="2"/>
      <c r="G2" s="2"/>
      <c r="H2" s="2"/>
      <c r="I2" s="2"/>
      <c r="J2" s="2"/>
      <c r="K2" s="2"/>
      <c r="L2" s="2"/>
      <c r="M2" s="2"/>
      <c r="N2" s="2"/>
      <c r="O2" s="2"/>
      <c r="P2" s="2"/>
      <c r="Q2" s="2"/>
      <c r="R2" s="2"/>
      <c r="S2" s="2"/>
      <c r="T2" s="2"/>
      <c r="U2" s="2"/>
      <c r="V2" s="2"/>
      <c r="W2" s="2"/>
      <c r="X2" s="2"/>
      <c r="Y2" s="2"/>
      <c r="Z2" s="2"/>
      <c r="AA2" s="2"/>
      <c r="AB2" s="3"/>
    </row>
    <row r="3" spans="2:28" ht="11.25" customHeight="1">
      <c r="B3" s="4"/>
      <c r="C3" s="5"/>
      <c r="D3" s="5"/>
      <c r="E3" s="40" t="s">
        <v>521</v>
      </c>
      <c r="F3" s="40"/>
      <c r="G3" s="40"/>
      <c r="H3" s="40"/>
      <c r="I3" s="40"/>
      <c r="J3" s="40"/>
      <c r="K3" s="40"/>
      <c r="L3" s="40"/>
      <c r="M3" s="40"/>
      <c r="N3" s="40"/>
      <c r="O3" s="40"/>
      <c r="P3" s="40"/>
      <c r="Q3" s="40"/>
      <c r="R3" s="40"/>
      <c r="S3" s="40"/>
      <c r="T3" s="40"/>
      <c r="U3" s="40"/>
      <c r="V3" s="40"/>
      <c r="W3" s="40"/>
      <c r="X3" s="40"/>
      <c r="Y3" s="40"/>
      <c r="Z3" s="40"/>
      <c r="AA3" s="40"/>
      <c r="AB3" s="45"/>
    </row>
    <row r="4" spans="2:28" ht="2.25" customHeight="1">
      <c r="B4" s="4"/>
      <c r="C4" s="11"/>
      <c r="D4" s="5"/>
      <c r="E4" s="40"/>
      <c r="F4" s="57">
        <v>1</v>
      </c>
      <c r="G4" s="57">
        <v>0.95</v>
      </c>
      <c r="H4" s="57">
        <v>0.9</v>
      </c>
      <c r="I4" s="57">
        <v>0.85</v>
      </c>
      <c r="J4" s="57">
        <v>0.8</v>
      </c>
      <c r="K4" s="57">
        <v>0.75</v>
      </c>
      <c r="L4" s="57">
        <v>0.7</v>
      </c>
      <c r="M4" s="57">
        <v>0.65</v>
      </c>
      <c r="N4" s="57">
        <v>0.6</v>
      </c>
      <c r="O4" s="57">
        <v>0.55000000000000004</v>
      </c>
      <c r="P4" s="57">
        <v>0.5</v>
      </c>
      <c r="Q4" s="58">
        <v>0.45</v>
      </c>
      <c r="R4" s="57">
        <v>0.39999999999999902</v>
      </c>
      <c r="S4" s="58">
        <v>0.34999999999999898</v>
      </c>
      <c r="T4" s="57">
        <v>0.29999999999999899</v>
      </c>
      <c r="U4" s="57">
        <v>0.249999999999999</v>
      </c>
      <c r="V4" s="57">
        <v>0.19999999999999901</v>
      </c>
      <c r="W4" s="57">
        <v>0.149999999999999</v>
      </c>
      <c r="X4" s="57">
        <v>9.9999999999999006E-2</v>
      </c>
      <c r="Y4" s="57">
        <v>4.9999999999998997E-2</v>
      </c>
      <c r="Z4" s="40"/>
      <c r="AA4" s="40"/>
      <c r="AB4" s="45"/>
    </row>
    <row r="5" spans="2:28" ht="12.95">
      <c r="B5" s="4"/>
      <c r="C5" s="11"/>
      <c r="D5" s="5"/>
      <c r="E5" s="59" t="s">
        <v>522</v>
      </c>
      <c r="F5" s="59">
        <v>100</v>
      </c>
      <c r="G5" s="59">
        <v>95</v>
      </c>
      <c r="H5" s="59">
        <v>90</v>
      </c>
      <c r="I5" s="59">
        <v>85</v>
      </c>
      <c r="J5" s="59">
        <v>80</v>
      </c>
      <c r="K5" s="59">
        <v>75</v>
      </c>
      <c r="L5" s="59">
        <v>70</v>
      </c>
      <c r="M5" s="59">
        <v>65</v>
      </c>
      <c r="N5" s="59">
        <v>60</v>
      </c>
      <c r="O5" s="59">
        <v>55</v>
      </c>
      <c r="P5" s="59">
        <v>50</v>
      </c>
      <c r="Q5" s="59">
        <v>45</v>
      </c>
      <c r="R5" s="59">
        <v>40</v>
      </c>
      <c r="S5" s="59">
        <v>35</v>
      </c>
      <c r="T5" s="59">
        <v>30</v>
      </c>
      <c r="U5" s="59">
        <v>25</v>
      </c>
      <c r="V5" s="59">
        <v>20</v>
      </c>
      <c r="W5" s="59">
        <v>15</v>
      </c>
      <c r="X5" s="59">
        <v>10</v>
      </c>
      <c r="Y5" s="59">
        <v>5</v>
      </c>
      <c r="Z5" s="59">
        <v>0</v>
      </c>
      <c r="AA5" s="59"/>
      <c r="AB5" s="60" t="e">
        <f>'Zero value Calc'!T15</f>
        <v>#DIV/0!</v>
      </c>
    </row>
    <row r="6" spans="2:28" ht="24.75" customHeight="1">
      <c r="B6" s="4"/>
      <c r="C6" s="5"/>
      <c r="D6" s="5"/>
      <c r="E6" s="59" t="s">
        <v>523</v>
      </c>
      <c r="F6" s="59">
        <v>0</v>
      </c>
      <c r="G6" s="59">
        <v>0.05</v>
      </c>
      <c r="H6" s="59">
        <v>0.1</v>
      </c>
      <c r="I6" s="59">
        <v>0.15</v>
      </c>
      <c r="J6" s="59">
        <v>0.2</v>
      </c>
      <c r="K6" s="59">
        <v>0.25</v>
      </c>
      <c r="L6" s="59">
        <v>0.3</v>
      </c>
      <c r="M6" s="59">
        <v>0.35</v>
      </c>
      <c r="N6" s="59">
        <v>0.4</v>
      </c>
      <c r="O6" s="59">
        <v>0.45</v>
      </c>
      <c r="P6" s="59">
        <v>0.5</v>
      </c>
      <c r="Q6" s="59">
        <v>0.55000000000000004</v>
      </c>
      <c r="R6" s="59">
        <v>0.6</v>
      </c>
      <c r="S6" s="59">
        <v>0.65</v>
      </c>
      <c r="T6" s="59">
        <v>0.7</v>
      </c>
      <c r="U6" s="59">
        <v>0.75</v>
      </c>
      <c r="V6" s="59">
        <v>0.8</v>
      </c>
      <c r="W6" s="59">
        <v>0.85</v>
      </c>
      <c r="X6" s="59">
        <v>0.9</v>
      </c>
      <c r="Y6" s="59">
        <v>0.95</v>
      </c>
      <c r="Z6" s="59">
        <v>1</v>
      </c>
      <c r="AA6" s="59"/>
      <c r="AB6" s="61" t="e">
        <f>1-AB5/100</f>
        <v>#DIV/0!</v>
      </c>
    </row>
    <row r="7" spans="2:28" ht="11.25" customHeight="1">
      <c r="B7" s="4"/>
      <c r="C7" s="5"/>
      <c r="D7" s="5"/>
      <c r="E7" s="59" t="s">
        <v>524</v>
      </c>
      <c r="F7" s="62">
        <v>1</v>
      </c>
      <c r="G7" s="62">
        <v>0.95</v>
      </c>
      <c r="H7" s="62">
        <v>0.9</v>
      </c>
      <c r="I7" s="62">
        <v>0.85</v>
      </c>
      <c r="J7" s="62">
        <v>0.8</v>
      </c>
      <c r="K7" s="62">
        <v>0.75</v>
      </c>
      <c r="L7" s="62">
        <v>0.7</v>
      </c>
      <c r="M7" s="62">
        <v>0.65</v>
      </c>
      <c r="N7" s="62">
        <v>0.6</v>
      </c>
      <c r="O7" s="62">
        <v>0.55000000000000004</v>
      </c>
      <c r="P7" s="62">
        <v>0.5</v>
      </c>
      <c r="Q7" s="62">
        <v>0.45</v>
      </c>
      <c r="R7" s="62">
        <v>0.39999999999999902</v>
      </c>
      <c r="S7" s="62">
        <v>0.34999999999999898</v>
      </c>
      <c r="T7" s="62">
        <v>0.29999999999999899</v>
      </c>
      <c r="U7" s="62">
        <v>0.249999999999999</v>
      </c>
      <c r="V7" s="62">
        <v>0.19999999999999901</v>
      </c>
      <c r="W7" s="62">
        <v>0.149999999999999</v>
      </c>
      <c r="X7" s="62">
        <v>9.9999999999999006E-2</v>
      </c>
      <c r="Y7" s="62">
        <v>4.9999999999998997E-2</v>
      </c>
      <c r="Z7" s="62">
        <v>-9.9920072216264108E-16</v>
      </c>
      <c r="AA7" s="59"/>
      <c r="AB7" s="61" t="e">
        <f>AB5/100</f>
        <v>#DIV/0!</v>
      </c>
    </row>
    <row r="8" spans="2:28" ht="11.25" customHeight="1">
      <c r="B8" s="4"/>
      <c r="C8" s="5"/>
      <c r="D8" s="5"/>
      <c r="E8" s="59" t="s">
        <v>525</v>
      </c>
      <c r="F8" s="62">
        <f>('Stage 3'!$K$53)*'Graph Calculations'!F6</f>
        <v>0</v>
      </c>
      <c r="G8" s="62">
        <f>('Stage 3'!$K$53)*'Graph Calculations'!G6</f>
        <v>0</v>
      </c>
      <c r="H8" s="62">
        <f>('Stage 3'!$K$53)*'Graph Calculations'!H6</f>
        <v>0</v>
      </c>
      <c r="I8" s="62">
        <f>('Stage 3'!$K$53)*'Graph Calculations'!I6</f>
        <v>0</v>
      </c>
      <c r="J8" s="62">
        <f>('Stage 3'!$K$53)*'Graph Calculations'!J6</f>
        <v>0</v>
      </c>
      <c r="K8" s="62">
        <f>('Stage 3'!$K$53)*'Graph Calculations'!K6</f>
        <v>0</v>
      </c>
      <c r="L8" s="62">
        <f>('Stage 3'!$K$53)*'Graph Calculations'!L6</f>
        <v>0</v>
      </c>
      <c r="M8" s="62">
        <f>('Stage 3'!$K$53)*'Graph Calculations'!M6</f>
        <v>0</v>
      </c>
      <c r="N8" s="62">
        <f>('Stage 3'!$K$53)*'Graph Calculations'!N6</f>
        <v>0</v>
      </c>
      <c r="O8" s="62">
        <f>('Stage 3'!$K$53)*'Graph Calculations'!O6</f>
        <v>0</v>
      </c>
      <c r="P8" s="62">
        <f>('Stage 3'!$K$53)*'Graph Calculations'!P6</f>
        <v>0</v>
      </c>
      <c r="Q8" s="62">
        <f>('Stage 3'!$K$53)*'Graph Calculations'!Q6</f>
        <v>0</v>
      </c>
      <c r="R8" s="62">
        <f>('Stage 3'!$K$53)*'Graph Calculations'!R6</f>
        <v>0</v>
      </c>
      <c r="S8" s="62">
        <f>('Stage 3'!$K$53)*'Graph Calculations'!S6</f>
        <v>0</v>
      </c>
      <c r="T8" s="62">
        <f>('Stage 3'!$K$53)*'Graph Calculations'!T6</f>
        <v>0</v>
      </c>
      <c r="U8" s="62">
        <f>('Stage 3'!$K$53)*'Graph Calculations'!U6</f>
        <v>0</v>
      </c>
      <c r="V8" s="62">
        <f>('Stage 3'!$K$53)*'Graph Calculations'!V6</f>
        <v>0</v>
      </c>
      <c r="W8" s="62">
        <f>('Stage 3'!$K$53)*'Graph Calculations'!W6</f>
        <v>0</v>
      </c>
      <c r="X8" s="62">
        <f>('Stage 3'!$K$53)*'Graph Calculations'!X6</f>
        <v>0</v>
      </c>
      <c r="Y8" s="62">
        <f>('Stage 3'!$K$53)*'Graph Calculations'!Y6</f>
        <v>0</v>
      </c>
      <c r="Z8" s="62">
        <f>('Stage 3'!$K$53)*'Graph Calculations'!Z6</f>
        <v>0</v>
      </c>
      <c r="AA8" s="59"/>
      <c r="AB8" s="60" t="e">
        <f>('Stage 3'!$K$53)*'Graph Calculations'!AB6</f>
        <v>#DIV/0!</v>
      </c>
    </row>
    <row r="9" spans="2:28" ht="11.25" customHeight="1">
      <c r="B9" s="4"/>
      <c r="C9" s="5"/>
      <c r="D9" s="5"/>
      <c r="E9" s="59" t="s">
        <v>526</v>
      </c>
      <c r="F9" s="62">
        <f>('Zero value Calc'!$K$16*'Data Tables'!$L$9)*F7</f>
        <v>0</v>
      </c>
      <c r="G9" s="62">
        <f>('Zero value Calc'!$K$16*'Data Tables'!$L$9)*G7</f>
        <v>0</v>
      </c>
      <c r="H9" s="62">
        <f>('Zero value Calc'!$K$16*'Data Tables'!$L$9)*H7</f>
        <v>0</v>
      </c>
      <c r="I9" s="62">
        <f>('Zero value Calc'!$K$16*'Data Tables'!$L$9)*I7</f>
        <v>0</v>
      </c>
      <c r="J9" s="62">
        <f>('Zero value Calc'!$K$16*'Data Tables'!$L$9)*J7</f>
        <v>0</v>
      </c>
      <c r="K9" s="62">
        <f>('Zero value Calc'!$K$16*'Data Tables'!$L$9)*K7</f>
        <v>0</v>
      </c>
      <c r="L9" s="62">
        <f>('Zero value Calc'!$K$16*'Data Tables'!$L$9)*L7</f>
        <v>0</v>
      </c>
      <c r="M9" s="62">
        <f>('Zero value Calc'!$K$16*'Data Tables'!$L$9)*M7</f>
        <v>0</v>
      </c>
      <c r="N9" s="62">
        <f>('Zero value Calc'!$K$16*'Data Tables'!$L$9)*N7</f>
        <v>0</v>
      </c>
      <c r="O9" s="62">
        <f>('Zero value Calc'!$K$16*'Data Tables'!$L$9)*O7</f>
        <v>0</v>
      </c>
      <c r="P9" s="62">
        <f>('Zero value Calc'!$K$16*'Data Tables'!$L$9)*P7</f>
        <v>0</v>
      </c>
      <c r="Q9" s="62">
        <f>('Zero value Calc'!$K$16*'Data Tables'!$L$9)*Q7</f>
        <v>0</v>
      </c>
      <c r="R9" s="62">
        <f>('Zero value Calc'!$K$16*'Data Tables'!$L$9)*R7</f>
        <v>0</v>
      </c>
      <c r="S9" s="62">
        <f>('Zero value Calc'!$K$16*'Data Tables'!$L$9)*S7</f>
        <v>0</v>
      </c>
      <c r="T9" s="62">
        <f>('Zero value Calc'!$K$16*'Data Tables'!$L$9)*T7</f>
        <v>0</v>
      </c>
      <c r="U9" s="62">
        <f>('Zero value Calc'!$K$16*'Data Tables'!$L$9)*U7</f>
        <v>0</v>
      </c>
      <c r="V9" s="62">
        <f>('Zero value Calc'!$K$16*'Data Tables'!$L$9)*V7</f>
        <v>0</v>
      </c>
      <c r="W9" s="62">
        <f>('Zero value Calc'!$K$16*'Data Tables'!$L$9)*W7</f>
        <v>0</v>
      </c>
      <c r="X9" s="62">
        <f>('Zero value Calc'!$K$16*'Data Tables'!$L$9)*X7</f>
        <v>0</v>
      </c>
      <c r="Y9" s="62">
        <f>('Zero value Calc'!$K$16*'Data Tables'!$L$9)*Y7</f>
        <v>0</v>
      </c>
      <c r="Z9" s="62">
        <f>('Zero value Calc'!$K$16*'Data Tables'!$L$9)*Z7</f>
        <v>0</v>
      </c>
      <c r="AA9" s="62"/>
      <c r="AB9" s="60" t="e">
        <f>('Zero value Calc'!$K$16*'Data Tables'!$L$9)*AB7</f>
        <v>#DIV/0!</v>
      </c>
    </row>
    <row r="10" spans="2:28" ht="15.95" customHeight="1">
      <c r="B10" s="4"/>
      <c r="C10" s="10"/>
      <c r="D10" s="5"/>
      <c r="E10" s="59" t="s">
        <v>527</v>
      </c>
      <c r="F10" s="62">
        <f>SUM(F8:F9)</f>
        <v>0</v>
      </c>
      <c r="G10" s="62">
        <f t="shared" ref="G10:Z10" si="0">SUM(G8:G9)</f>
        <v>0</v>
      </c>
      <c r="H10" s="62">
        <f t="shared" si="0"/>
        <v>0</v>
      </c>
      <c r="I10" s="62">
        <f>SUM(I8:I9)</f>
        <v>0</v>
      </c>
      <c r="J10" s="62">
        <f t="shared" si="0"/>
        <v>0</v>
      </c>
      <c r="K10" s="62">
        <f t="shared" si="0"/>
        <v>0</v>
      </c>
      <c r="L10" s="62">
        <f>SUM(L8:L9)</f>
        <v>0</v>
      </c>
      <c r="M10" s="62">
        <f t="shared" si="0"/>
        <v>0</v>
      </c>
      <c r="N10" s="62">
        <f t="shared" si="0"/>
        <v>0</v>
      </c>
      <c r="O10" s="62">
        <f t="shared" si="0"/>
        <v>0</v>
      </c>
      <c r="P10" s="62">
        <f t="shared" si="0"/>
        <v>0</v>
      </c>
      <c r="Q10" s="62">
        <f t="shared" si="0"/>
        <v>0</v>
      </c>
      <c r="R10" s="62">
        <f t="shared" si="0"/>
        <v>0</v>
      </c>
      <c r="S10" s="62">
        <f t="shared" si="0"/>
        <v>0</v>
      </c>
      <c r="T10" s="62">
        <f t="shared" si="0"/>
        <v>0</v>
      </c>
      <c r="U10" s="62">
        <f t="shared" si="0"/>
        <v>0</v>
      </c>
      <c r="V10" s="62">
        <f t="shared" si="0"/>
        <v>0</v>
      </c>
      <c r="W10" s="62">
        <f t="shared" si="0"/>
        <v>0</v>
      </c>
      <c r="X10" s="62">
        <f t="shared" si="0"/>
        <v>0</v>
      </c>
      <c r="Y10" s="62">
        <f t="shared" si="0"/>
        <v>0</v>
      </c>
      <c r="Z10" s="62">
        <f t="shared" si="0"/>
        <v>0</v>
      </c>
      <c r="AA10" s="62"/>
      <c r="AB10" s="60" t="e">
        <f t="shared" ref="AB10" si="1">SUM(AB8:AB9)</f>
        <v>#DIV/0!</v>
      </c>
    </row>
    <row r="11" spans="2:28" ht="12" customHeight="1">
      <c r="B11" s="4"/>
      <c r="C11" s="5"/>
      <c r="D11" s="5"/>
      <c r="E11" s="59" t="s">
        <v>528</v>
      </c>
      <c r="F11" s="62">
        <f>F10-'Zero value Calc'!$K$19</f>
        <v>0</v>
      </c>
      <c r="G11" s="62">
        <f>G10-'Zero value Calc'!$K$19</f>
        <v>0</v>
      </c>
      <c r="H11" s="62">
        <f>H10-'Zero value Calc'!$K$19</f>
        <v>0</v>
      </c>
      <c r="I11" s="62">
        <f>I10-'Zero value Calc'!$K$19</f>
        <v>0</v>
      </c>
      <c r="J11" s="62">
        <f>J10-'Zero value Calc'!$K$19</f>
        <v>0</v>
      </c>
      <c r="K11" s="62">
        <f>K10-'Zero value Calc'!$K$19</f>
        <v>0</v>
      </c>
      <c r="L11" s="62">
        <f>L10-'Zero value Calc'!$K$19</f>
        <v>0</v>
      </c>
      <c r="M11" s="62">
        <f>M10-'Zero value Calc'!$K$19</f>
        <v>0</v>
      </c>
      <c r="N11" s="62">
        <f>N10-'Zero value Calc'!$K$19</f>
        <v>0</v>
      </c>
      <c r="O11" s="62">
        <f>O10-'Zero value Calc'!$K$19</f>
        <v>0</v>
      </c>
      <c r="P11" s="62">
        <f>P10-'Zero value Calc'!$K$19</f>
        <v>0</v>
      </c>
      <c r="Q11" s="62">
        <f>Q10-'Zero value Calc'!$K$19</f>
        <v>0</v>
      </c>
      <c r="R11" s="62">
        <f>R10-'Zero value Calc'!$K$19</f>
        <v>0</v>
      </c>
      <c r="S11" s="62">
        <f>S10-'Zero value Calc'!$K$19</f>
        <v>0</v>
      </c>
      <c r="T11" s="62">
        <f>T10-'Zero value Calc'!$K$19</f>
        <v>0</v>
      </c>
      <c r="U11" s="62">
        <f>U10-'Zero value Calc'!$K$19</f>
        <v>0</v>
      </c>
      <c r="V11" s="62">
        <f>V10-'Zero value Calc'!$K$19</f>
        <v>0</v>
      </c>
      <c r="W11" s="62">
        <f>W10-'Zero value Calc'!$K$19</f>
        <v>0</v>
      </c>
      <c r="X11" s="62">
        <f>X10-'Zero value Calc'!$K$19</f>
        <v>0</v>
      </c>
      <c r="Y11" s="62">
        <f>Y10-'Zero value Calc'!$K$19</f>
        <v>0</v>
      </c>
      <c r="Z11" s="62">
        <f>Z10-'Zero value Calc'!$K$19</f>
        <v>0</v>
      </c>
      <c r="AA11" s="62"/>
      <c r="AB11" s="60" t="e">
        <f>AB10-'Zero value Calc'!$K$19</f>
        <v>#DIV/0!</v>
      </c>
    </row>
    <row r="12" spans="2:28" ht="12.95">
      <c r="B12" s="4"/>
      <c r="C12" s="5"/>
      <c r="D12" s="5"/>
      <c r="E12" s="59" t="s">
        <v>529</v>
      </c>
      <c r="F12" s="62" t="e">
        <f>('Zero value Calc'!$K$15/'Zero value Calc'!$K$16)*(F6*'Zero value Calc'!$K$16)</f>
        <v>#DIV/0!</v>
      </c>
      <c r="G12" s="62" t="e">
        <f>('Zero value Calc'!$K$15/'Zero value Calc'!$K$16)*(G6*'Zero value Calc'!$K$16)</f>
        <v>#DIV/0!</v>
      </c>
      <c r="H12" s="62" t="e">
        <f>('Zero value Calc'!$K$15/'Zero value Calc'!$K$16)*(H6*'Zero value Calc'!$K$16)</f>
        <v>#DIV/0!</v>
      </c>
      <c r="I12" s="62" t="e">
        <f>('Zero value Calc'!$K$15/'Zero value Calc'!$K$16)*(I6*'Zero value Calc'!$K$16)</f>
        <v>#DIV/0!</v>
      </c>
      <c r="J12" s="62" t="e">
        <f>('Zero value Calc'!$K$15/'Zero value Calc'!$K$16)*(J6*'Zero value Calc'!$K$16)</f>
        <v>#DIV/0!</v>
      </c>
      <c r="K12" s="62" t="e">
        <f>('Zero value Calc'!$K$15/'Zero value Calc'!$K$16)*(K6*'Zero value Calc'!$K$16)</f>
        <v>#DIV/0!</v>
      </c>
      <c r="L12" s="62" t="e">
        <f>('Zero value Calc'!$K$15/'Zero value Calc'!$K$16)*(L6*'Zero value Calc'!$K$16)</f>
        <v>#DIV/0!</v>
      </c>
      <c r="M12" s="62" t="e">
        <f>('Zero value Calc'!$K$15/'Zero value Calc'!$K$16)*(M6*'Zero value Calc'!$K$16)</f>
        <v>#DIV/0!</v>
      </c>
      <c r="N12" s="62" t="e">
        <f>('Zero value Calc'!$K$15/'Zero value Calc'!$K$16)*(N6*'Zero value Calc'!$K$16)</f>
        <v>#DIV/0!</v>
      </c>
      <c r="O12" s="62" t="e">
        <f>('Zero value Calc'!$K$15/'Zero value Calc'!$K$16)*(O6*'Zero value Calc'!$K$16)</f>
        <v>#DIV/0!</v>
      </c>
      <c r="P12" s="62" t="e">
        <f>('Zero value Calc'!$K$15/'Zero value Calc'!$K$16)*(P6*'Zero value Calc'!$K$16)</f>
        <v>#DIV/0!</v>
      </c>
      <c r="Q12" s="62" t="e">
        <f>('Zero value Calc'!$K$15/'Zero value Calc'!$K$16)*(Q6*'Zero value Calc'!$K$16)</f>
        <v>#DIV/0!</v>
      </c>
      <c r="R12" s="62" t="e">
        <f>('Zero value Calc'!$K$15/'Zero value Calc'!$K$16)*(R6*'Zero value Calc'!$K$16)</f>
        <v>#DIV/0!</v>
      </c>
      <c r="S12" s="62" t="e">
        <f>('Zero value Calc'!$K$15/'Zero value Calc'!$K$16)*(S6*'Zero value Calc'!$K$16)</f>
        <v>#DIV/0!</v>
      </c>
      <c r="T12" s="62" t="e">
        <f>('Zero value Calc'!$K$15/'Zero value Calc'!$K$16)*(T6*'Zero value Calc'!$K$16)</f>
        <v>#DIV/0!</v>
      </c>
      <c r="U12" s="62" t="e">
        <f>('Zero value Calc'!$K$15/'Zero value Calc'!$K$16)*(U6*'Zero value Calc'!$K$16)</f>
        <v>#DIV/0!</v>
      </c>
      <c r="V12" s="62" t="e">
        <f>('Zero value Calc'!$K$15/'Zero value Calc'!$K$16)*(V6*'Zero value Calc'!$K$16)</f>
        <v>#DIV/0!</v>
      </c>
      <c r="W12" s="62" t="e">
        <f>('Zero value Calc'!$K$15/'Zero value Calc'!$K$16)*(W6*'Zero value Calc'!$K$16)</f>
        <v>#DIV/0!</v>
      </c>
      <c r="X12" s="62" t="e">
        <f>('Zero value Calc'!$K$15/'Zero value Calc'!$K$16)*(X6*'Zero value Calc'!$K$16)</f>
        <v>#DIV/0!</v>
      </c>
      <c r="Y12" s="62" t="e">
        <f>('Zero value Calc'!$K$15/'Zero value Calc'!$K$16)*(Y6*'Zero value Calc'!$K$16)</f>
        <v>#DIV/0!</v>
      </c>
      <c r="Z12" s="62" t="e">
        <f>('Zero value Calc'!$K$15/'Zero value Calc'!$K$16)*(Z6*'Zero value Calc'!$K$16)</f>
        <v>#DIV/0!</v>
      </c>
      <c r="AA12" s="62"/>
      <c r="AB12" s="60" t="e">
        <f>('Zero value Calc'!$K$15/'Zero value Calc'!$K$16)*(AB6*'Zero value Calc'!$K$16)</f>
        <v>#DIV/0!</v>
      </c>
    </row>
    <row r="13" spans="2:28" ht="12.95">
      <c r="B13" s="4"/>
      <c r="C13" s="5"/>
      <c r="D13" s="5"/>
      <c r="E13" s="59" t="s">
        <v>530</v>
      </c>
      <c r="F13" s="62" t="e">
        <f>((((F12*(IF('Zero value Calc'!$G$11="House",'Stage 1'!$V$12,0)+IF('Zero value Calc'!$G$11="Hotel / quest house",'Stage 1'!$V$23,0))*'Stage 1'!$V$32)*'Stage 1'!$K$51)/1000000)*365.25)</f>
        <v>#DIV/0!</v>
      </c>
      <c r="G13" s="62" t="e">
        <f>((((G12*(IF('Zero value Calc'!$G$11="House",'Stage 1'!$V$12,0)+IF('Zero value Calc'!$G$11="Hotel / quest house",'Stage 1'!$V$23,0))*'Stage 1'!$V$32)*'Stage 1'!$K$51)/1000000)*365.25)</f>
        <v>#DIV/0!</v>
      </c>
      <c r="H13" s="62" t="e">
        <f>((((H12*(IF('Zero value Calc'!$G$11="House",'Stage 1'!$V$12,0)+IF('Zero value Calc'!$G$11="Hotel / quest house",'Stage 1'!$V$23,0))*'Stage 1'!$V$32)*'Stage 1'!$K$51)/1000000)*365.25)</f>
        <v>#DIV/0!</v>
      </c>
      <c r="I13" s="62" t="e">
        <f>((((I12*(IF('Zero value Calc'!$G$11="House",'Stage 1'!$V$12,0)+IF('Zero value Calc'!$G$11="Hotel / quest house",'Stage 1'!$V$23,0))*'Stage 1'!$V$32)*'Stage 1'!$K$51)/1000000)*365.25)</f>
        <v>#DIV/0!</v>
      </c>
      <c r="J13" s="62" t="e">
        <f>((((J12*(IF('Zero value Calc'!$G$11="House",'Stage 1'!$V$12,0)+IF('Zero value Calc'!$G$11="Hotel / quest house",'Stage 1'!$V$23,0))*'Stage 1'!$V$32)*'Stage 1'!$K$51)/1000000)*365.25)</f>
        <v>#DIV/0!</v>
      </c>
      <c r="K13" s="62" t="e">
        <f>((((K12*(IF('Zero value Calc'!$G$11="House",'Stage 1'!$V$12,0)+IF('Zero value Calc'!$G$11="Hotel / quest house",'Stage 1'!$V$23,0))*'Stage 1'!$V$32)*'Stage 1'!$K$51)/1000000)*365.25)</f>
        <v>#DIV/0!</v>
      </c>
      <c r="L13" s="62" t="e">
        <f>((((L12*(IF('Zero value Calc'!$G$11="House",'Stage 1'!$V$12,0)+IF('Zero value Calc'!$G$11="Hotel / quest house",'Stage 1'!$V$23,0))*'Stage 1'!$V$32)*'Stage 1'!$K$51)/1000000)*365.25)</f>
        <v>#DIV/0!</v>
      </c>
      <c r="M13" s="62" t="e">
        <f>((((M12*(IF('Zero value Calc'!$G$11="House",'Stage 1'!$V$12,0)+IF('Zero value Calc'!$G$11="Hotel / quest house",'Stage 1'!$V$23,0))*'Stage 1'!$V$32)*'Stage 1'!$K$51)/1000000)*365.25)</f>
        <v>#DIV/0!</v>
      </c>
      <c r="N13" s="62" t="e">
        <f>((((N12*(IF('Zero value Calc'!$G$11="House",'Stage 1'!$V$12,0)+IF('Zero value Calc'!$G$11="Hotel / quest house",'Stage 1'!$V$23,0))*'Stage 1'!$V$32)*'Stage 1'!$K$51)/1000000)*365.25)</f>
        <v>#DIV/0!</v>
      </c>
      <c r="O13" s="62" t="e">
        <f>((((O12*(IF('Zero value Calc'!$G$11="House",'Stage 1'!$V$12,0)+IF('Zero value Calc'!$G$11="Hotel / quest house",'Stage 1'!$V$23,0))*'Stage 1'!$V$32)*'Stage 1'!$K$51)/1000000)*365.25)</f>
        <v>#DIV/0!</v>
      </c>
      <c r="P13" s="62" t="e">
        <f>((((P12*(IF('Zero value Calc'!$G$11="House",'Stage 1'!$V$12,0)+IF('Zero value Calc'!$G$11="Hotel / quest house",'Stage 1'!$V$23,0))*'Stage 1'!$V$32)*'Stage 1'!$K$51)/1000000)*365.25)</f>
        <v>#DIV/0!</v>
      </c>
      <c r="Q13" s="62" t="e">
        <f>((((Q12*(IF('Zero value Calc'!$G$11="House",'Stage 1'!$V$12,0)+IF('Zero value Calc'!$G$11="Hotel / quest house",'Stage 1'!$V$23,0))*'Stage 1'!$V$32)*'Stage 1'!$K$51)/1000000)*365.25)</f>
        <v>#DIV/0!</v>
      </c>
      <c r="R13" s="62" t="e">
        <f>((((R12*(IF('Zero value Calc'!$G$11="House",'Stage 1'!$V$12,0)+IF('Zero value Calc'!$G$11="Hotel / quest house",'Stage 1'!$V$23,0))*'Stage 1'!$V$32)*'Stage 1'!$K$51)/1000000)*365.25)</f>
        <v>#DIV/0!</v>
      </c>
      <c r="S13" s="62" t="e">
        <f>((((S12*(IF('Zero value Calc'!$G$11="House",'Stage 1'!$V$12,0)+IF('Zero value Calc'!$G$11="Hotel / quest house",'Stage 1'!$V$23,0))*'Stage 1'!$V$32)*'Stage 1'!$K$51)/1000000)*365.25)</f>
        <v>#DIV/0!</v>
      </c>
      <c r="T13" s="62" t="e">
        <f>((((T12*(IF('Zero value Calc'!$G$11="House",'Stage 1'!$V$12,0)+IF('Zero value Calc'!$G$11="Hotel / quest house",'Stage 1'!$V$23,0))*'Stage 1'!$V$32)*'Stage 1'!$K$51)/1000000)*365.25)</f>
        <v>#DIV/0!</v>
      </c>
      <c r="U13" s="62" t="e">
        <f>((((U12*(IF('Zero value Calc'!$G$11="House",'Stage 1'!$V$12,0)+IF('Zero value Calc'!$G$11="Hotel / quest house",'Stage 1'!$V$23,0))*'Stage 1'!$V$32)*'Stage 1'!$K$51)/1000000)*365.25)</f>
        <v>#DIV/0!</v>
      </c>
      <c r="V13" s="62" t="e">
        <f>((((V12*(IF('Zero value Calc'!$G$11="House",'Stage 1'!$V$12,0)+IF('Zero value Calc'!$G$11="Hotel / quest house",'Stage 1'!$V$23,0))*'Stage 1'!$V$32)*'Stage 1'!$K$51)/1000000)*365.25)</f>
        <v>#DIV/0!</v>
      </c>
      <c r="W13" s="62" t="e">
        <f>((((W12*(IF('Zero value Calc'!$G$11="House",'Stage 1'!$V$12,0)+IF('Zero value Calc'!$G$11="Hotel / quest house",'Stage 1'!$V$23,0))*'Stage 1'!$V$32)*'Stage 1'!$K$51)/1000000)*365.25)</f>
        <v>#DIV/0!</v>
      </c>
      <c r="X13" s="62" t="e">
        <f>((((X12*(IF('Zero value Calc'!$G$11="House",'Stage 1'!$V$12,0)+IF('Zero value Calc'!$G$11="Hotel / quest house",'Stage 1'!$V$23,0))*'Stage 1'!$V$32)*'Stage 1'!$K$51)/1000000)*365.25)</f>
        <v>#DIV/0!</v>
      </c>
      <c r="Y13" s="62" t="e">
        <f>((((Y12*(IF('Zero value Calc'!$G$11="House",'Stage 1'!$V$12,0)+IF('Zero value Calc'!$G$11="Hotel / quest house",'Stage 1'!$V$23,0))*'Stage 1'!$V$32)*'Stage 1'!$K$51)/1000000)*365.25)</f>
        <v>#DIV/0!</v>
      </c>
      <c r="Z13" s="62" t="e">
        <f>((((Z12*(IF('Zero value Calc'!$G$11="House",'Stage 1'!$V$12,0)+IF('Zero value Calc'!$G$11="Hotel / quest house",'Stage 1'!$V$23,0))*'Stage 1'!$V$32)*'Stage 1'!$K$51)/1000000)*365.25)</f>
        <v>#DIV/0!</v>
      </c>
      <c r="AA13" s="62"/>
      <c r="AB13" s="63" t="e">
        <f>((((AB12*(IF('Zero value Calc'!$G$11="House",'Stage 1'!$V$12,0)+IF('Zero value Calc'!$G$11="Hotel / quest house",'Stage 1'!$V$23,0)))*'Stage 1'!$V$32)*'Stage 1'!$K$51)/1000000)*365.25</f>
        <v>#DIV/0!</v>
      </c>
    </row>
    <row r="14" spans="2:28" ht="12" customHeight="1">
      <c r="B14" s="4"/>
      <c r="C14" s="5"/>
      <c r="D14" s="5"/>
      <c r="E14" s="59" t="s">
        <v>531</v>
      </c>
      <c r="F14" s="62" t="e">
        <f>F11+F13</f>
        <v>#DIV/0!</v>
      </c>
      <c r="G14" s="62" t="e">
        <f t="shared" ref="G14:Z14" si="2">G11+G13</f>
        <v>#DIV/0!</v>
      </c>
      <c r="H14" s="62" t="e">
        <f t="shared" si="2"/>
        <v>#DIV/0!</v>
      </c>
      <c r="I14" s="62" t="e">
        <f t="shared" si="2"/>
        <v>#DIV/0!</v>
      </c>
      <c r="J14" s="62" t="e">
        <f t="shared" si="2"/>
        <v>#DIV/0!</v>
      </c>
      <c r="K14" s="62" t="e">
        <f t="shared" si="2"/>
        <v>#DIV/0!</v>
      </c>
      <c r="L14" s="62" t="e">
        <f t="shared" si="2"/>
        <v>#DIV/0!</v>
      </c>
      <c r="M14" s="62" t="e">
        <f t="shared" si="2"/>
        <v>#DIV/0!</v>
      </c>
      <c r="N14" s="62" t="e">
        <f t="shared" si="2"/>
        <v>#DIV/0!</v>
      </c>
      <c r="O14" s="62" t="e">
        <f t="shared" si="2"/>
        <v>#DIV/0!</v>
      </c>
      <c r="P14" s="62" t="e">
        <f t="shared" si="2"/>
        <v>#DIV/0!</v>
      </c>
      <c r="Q14" s="62" t="e">
        <f t="shared" si="2"/>
        <v>#DIV/0!</v>
      </c>
      <c r="R14" s="62" t="e">
        <f t="shared" si="2"/>
        <v>#DIV/0!</v>
      </c>
      <c r="S14" s="62" t="e">
        <f t="shared" si="2"/>
        <v>#DIV/0!</v>
      </c>
      <c r="T14" s="62" t="e">
        <f t="shared" si="2"/>
        <v>#DIV/0!</v>
      </c>
      <c r="U14" s="62" t="e">
        <f t="shared" si="2"/>
        <v>#DIV/0!</v>
      </c>
      <c r="V14" s="62" t="e">
        <f t="shared" si="2"/>
        <v>#DIV/0!</v>
      </c>
      <c r="W14" s="62" t="e">
        <f t="shared" si="2"/>
        <v>#DIV/0!</v>
      </c>
      <c r="X14" s="62" t="e">
        <f t="shared" si="2"/>
        <v>#DIV/0!</v>
      </c>
      <c r="Y14" s="62" t="e">
        <f t="shared" si="2"/>
        <v>#DIV/0!</v>
      </c>
      <c r="Z14" s="62" t="e">
        <f t="shared" si="2"/>
        <v>#DIV/0!</v>
      </c>
      <c r="AA14" s="62"/>
      <c r="AB14" s="60" t="e">
        <f t="shared" ref="AB14" si="3">AB11+AB13</f>
        <v>#DIV/0!</v>
      </c>
    </row>
    <row r="15" spans="2:28" ht="6.75" customHeight="1">
      <c r="B15" s="4"/>
      <c r="C15" s="5"/>
      <c r="D15" s="5"/>
      <c r="E15" s="40"/>
      <c r="F15" s="55"/>
      <c r="G15" s="55"/>
      <c r="H15" s="55"/>
      <c r="I15" s="55"/>
      <c r="J15" s="55"/>
      <c r="K15" s="55"/>
      <c r="L15" s="55"/>
      <c r="M15" s="55"/>
      <c r="N15" s="55"/>
      <c r="O15" s="55"/>
      <c r="P15" s="55"/>
      <c r="Q15" s="55"/>
      <c r="R15" s="55"/>
      <c r="S15" s="55"/>
      <c r="T15" s="55"/>
      <c r="U15" s="55"/>
      <c r="V15" s="55"/>
      <c r="W15" s="55"/>
      <c r="X15" s="55"/>
      <c r="Y15" s="55"/>
      <c r="Z15" s="55"/>
      <c r="AA15" s="55"/>
      <c r="AB15" s="92"/>
    </row>
    <row r="16" spans="2:28" ht="11.45" customHeight="1" thickBot="1">
      <c r="B16" s="7"/>
      <c r="C16" s="8"/>
      <c r="D16" s="8"/>
      <c r="E16" s="8"/>
      <c r="F16" s="8"/>
      <c r="G16" s="8"/>
      <c r="H16" s="8"/>
      <c r="I16" s="8"/>
      <c r="J16" s="8"/>
      <c r="K16" s="8"/>
      <c r="L16" s="8"/>
      <c r="M16" s="8"/>
      <c r="N16" s="8"/>
      <c r="O16" s="8"/>
      <c r="P16" s="8"/>
      <c r="Q16" s="8"/>
      <c r="R16" s="8"/>
      <c r="S16" s="8"/>
      <c r="T16" s="8"/>
      <c r="U16" s="8"/>
      <c r="V16" s="8"/>
      <c r="W16" s="8"/>
      <c r="X16" s="8"/>
      <c r="Y16" s="8"/>
      <c r="Z16" s="8"/>
      <c r="AA16" s="8"/>
      <c r="AB16" s="9"/>
    </row>
    <row r="18" spans="4:4" ht="6.75" customHeight="1"/>
    <row r="23" spans="4:4" ht="6" customHeight="1"/>
    <row r="24" spans="4:4" ht="15.95" customHeight="1"/>
    <row r="25" spans="4:4" ht="15" customHeight="1"/>
    <row r="26" spans="4:4">
      <c r="D26" t="s">
        <v>518</v>
      </c>
    </row>
    <row r="27" spans="4:4" ht="12.75" customHeight="1"/>
    <row r="28" spans="4:4" ht="23.45" customHeight="1">
      <c r="D28" t="s">
        <v>519</v>
      </c>
    </row>
    <row r="29" spans="4:4" ht="1.5" customHeight="1"/>
    <row r="30" spans="4:4">
      <c r="D30" t="s">
        <v>520</v>
      </c>
    </row>
    <row r="32" spans="4:4" ht="6.75" customHeight="1"/>
    <row r="36" spans="4:12" ht="12.75" customHeight="1"/>
    <row r="37" spans="4:12" ht="35.450000000000003" customHeight="1"/>
    <row r="38" spans="4:12" ht="12.95" customHeight="1"/>
    <row r="39" spans="4:12" ht="12.95" customHeight="1"/>
    <row r="40" spans="4:12" ht="35.450000000000003" customHeight="1"/>
    <row r="41" spans="4:12" ht="6" customHeight="1" thickBot="1">
      <c r="D41" s="35"/>
    </row>
    <row r="43" spans="4:12">
      <c r="L43" s="13"/>
    </row>
    <row r="44" spans="4:12" ht="12.95">
      <c r="E44" s="16"/>
      <c r="F44" s="16"/>
      <c r="I44" s="16"/>
    </row>
    <row r="47" spans="4:12">
      <c r="I47" s="13"/>
    </row>
    <row r="48" spans="4:12">
      <c r="I48" s="13"/>
    </row>
    <row r="49" spans="5:11">
      <c r="I49" s="13"/>
    </row>
    <row r="50" spans="5:11">
      <c r="E50" s="14"/>
      <c r="I50" s="13"/>
    </row>
    <row r="51" spans="5:11">
      <c r="I51" s="13"/>
    </row>
    <row r="56" spans="5:11" ht="12.95">
      <c r="J56" s="16"/>
      <c r="K56" s="16"/>
    </row>
  </sheetData>
  <sheetProtection formatCells="0" formatColumns="0" formatRows="0" insertColumns="0" insertRows="0" insertHyperlinks="0" selectLockedCells="1" sort="0" autoFilter="0" pivotTables="0"/>
  <dataConsolidate/>
  <pageMargins left="0.70866141732283472" right="0.70866141732283472" top="0.74803149606299213" bottom="0.74803149606299213" header="0.31496062992125984" footer="0.31496062992125984"/>
  <pageSetup paperSize="9" scale="95" orientation="landscape" horizontalDpi="360" verticalDpi="360" r:id="rId1"/>
  <headerFooter>
    <oddHeader>&amp;LPhosphate Budget Calculator&amp;CStage 4</oddHeader>
    <oddFooter>&amp;LVersion 2.2&amp;R&amp;D</oddFooter>
  </headerFooter>
  <customProperties>
    <customPr name="SSC_SHEET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F8EAF-343D-4DA7-8687-7144E17E3D7D}">
  <sheetPr codeName="Sheet14">
    <tabColor theme="9" tint="0.79998168889431442"/>
  </sheetPr>
  <dimension ref="A1:R3"/>
  <sheetViews>
    <sheetView workbookViewId="0"/>
  </sheetViews>
  <sheetFormatPr defaultRowHeight="12.6"/>
  <sheetData>
    <row r="1" spans="1:18" ht="12.95">
      <c r="A1" s="38" t="s">
        <v>532</v>
      </c>
    </row>
    <row r="2" spans="1:18">
      <c r="A2" s="483" t="s">
        <v>533</v>
      </c>
      <c r="B2" s="483"/>
      <c r="C2" s="483"/>
      <c r="D2" s="483"/>
      <c r="E2" s="483"/>
      <c r="F2" s="483"/>
      <c r="G2" s="483"/>
      <c r="H2" s="483"/>
      <c r="I2" s="483"/>
      <c r="J2" s="483"/>
      <c r="K2" s="483"/>
      <c r="L2" s="483"/>
      <c r="M2" s="483"/>
      <c r="N2" s="483"/>
      <c r="O2" s="483"/>
      <c r="P2" s="483"/>
      <c r="Q2" s="483"/>
      <c r="R2" s="483"/>
    </row>
    <row r="3" spans="1:18" ht="24.75" customHeight="1">
      <c r="A3" s="483"/>
      <c r="B3" s="483"/>
      <c r="C3" s="483"/>
      <c r="D3" s="483"/>
      <c r="E3" s="483"/>
      <c r="F3" s="483"/>
      <c r="G3" s="483"/>
      <c r="H3" s="483"/>
      <c r="I3" s="483"/>
      <c r="J3" s="483"/>
      <c r="K3" s="483"/>
      <c r="L3" s="483"/>
      <c r="M3" s="483"/>
      <c r="N3" s="483"/>
      <c r="O3" s="483"/>
      <c r="P3" s="483"/>
      <c r="Q3" s="483"/>
      <c r="R3" s="483"/>
    </row>
  </sheetData>
  <sheetProtection selectLockedCells="1"/>
  <mergeCells count="1">
    <mergeCell ref="A2:R3"/>
  </mergeCells>
  <pageMargins left="0.7" right="0.7" top="0.75" bottom="0.75" header="0.3" footer="0.3"/>
  <customProperties>
    <customPr name="SSC_SHEET_GUID" r:id="rId1"/>
  </customPropertie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1B447-6C93-4A3D-9E5B-B768C560CAA1}">
  <sheetPr codeName="Sheet15"/>
  <dimension ref="A1:E65"/>
  <sheetViews>
    <sheetView workbookViewId="0"/>
  </sheetViews>
  <sheetFormatPr defaultRowHeight="12.6"/>
  <sheetData>
    <row r="1" spans="1:5">
      <c r="A1" t="s">
        <v>534</v>
      </c>
      <c r="B1" t="s">
        <v>535</v>
      </c>
      <c r="C1" t="s">
        <v>536</v>
      </c>
      <c r="D1" t="s">
        <v>537</v>
      </c>
      <c r="E1" t="s">
        <v>538</v>
      </c>
    </row>
    <row r="2" spans="1:5">
      <c r="A2" t="s">
        <v>539</v>
      </c>
      <c r="B2" t="s">
        <v>540</v>
      </c>
      <c r="C2" t="s">
        <v>541</v>
      </c>
    </row>
    <row r="3" spans="1:5">
      <c r="A3" t="s">
        <v>542</v>
      </c>
      <c r="B3" t="s">
        <v>543</v>
      </c>
      <c r="C3" t="s">
        <v>544</v>
      </c>
    </row>
    <row r="4" spans="1:5">
      <c r="A4" t="s">
        <v>545</v>
      </c>
      <c r="B4" t="s">
        <v>546</v>
      </c>
      <c r="C4" t="s">
        <v>547</v>
      </c>
    </row>
    <row r="5" spans="1:5">
      <c r="A5" t="s">
        <v>548</v>
      </c>
      <c r="B5" t="s">
        <v>549</v>
      </c>
      <c r="C5" t="s">
        <v>550</v>
      </c>
    </row>
    <row r="6" spans="1:5">
      <c r="A6" t="s">
        <v>551</v>
      </c>
      <c r="B6" t="s">
        <v>552</v>
      </c>
      <c r="C6" t="s">
        <v>553</v>
      </c>
    </row>
    <row r="7" spans="1:5">
      <c r="A7" t="s">
        <v>554</v>
      </c>
      <c r="B7" t="s">
        <v>555</v>
      </c>
      <c r="C7" t="s">
        <v>556</v>
      </c>
    </row>
    <row r="8" spans="1:5">
      <c r="A8" t="s">
        <v>557</v>
      </c>
      <c r="C8" t="s">
        <v>558</v>
      </c>
    </row>
    <row r="9" spans="1:5">
      <c r="A9" t="s">
        <v>559</v>
      </c>
      <c r="C9" t="s">
        <v>560</v>
      </c>
    </row>
    <row r="10" spans="1:5">
      <c r="A10" t="s">
        <v>561</v>
      </c>
      <c r="C10" t="s">
        <v>562</v>
      </c>
    </row>
    <row r="11" spans="1:5">
      <c r="A11" t="s">
        <v>563</v>
      </c>
      <c r="C11" t="s">
        <v>564</v>
      </c>
    </row>
    <row r="12" spans="1:5">
      <c r="A12" t="s">
        <v>565</v>
      </c>
      <c r="C12" t="s">
        <v>566</v>
      </c>
    </row>
    <row r="13" spans="1:5">
      <c r="A13" t="s">
        <v>567</v>
      </c>
      <c r="C13" t="s">
        <v>568</v>
      </c>
    </row>
    <row r="14" spans="1:5">
      <c r="A14" t="s">
        <v>569</v>
      </c>
      <c r="C14" t="s">
        <v>570</v>
      </c>
    </row>
    <row r="15" spans="1:5">
      <c r="A15" t="s">
        <v>571</v>
      </c>
    </row>
    <row r="16" spans="1:5">
      <c r="A16" t="s">
        <v>572</v>
      </c>
    </row>
    <row r="17" spans="1:1">
      <c r="A17" t="s">
        <v>573</v>
      </c>
    </row>
    <row r="18" spans="1:1">
      <c r="A18" t="s">
        <v>574</v>
      </c>
    </row>
    <row r="19" spans="1:1">
      <c r="A19" t="s">
        <v>575</v>
      </c>
    </row>
    <row r="20" spans="1:1">
      <c r="A20" t="s">
        <v>576</v>
      </c>
    </row>
    <row r="21" spans="1:1">
      <c r="A21" t="s">
        <v>577</v>
      </c>
    </row>
    <row r="22" spans="1:1">
      <c r="A22" t="s">
        <v>578</v>
      </c>
    </row>
    <row r="23" spans="1:1">
      <c r="A23" t="s">
        <v>579</v>
      </c>
    </row>
    <row r="24" spans="1:1">
      <c r="A24" t="s">
        <v>580</v>
      </c>
    </row>
    <row r="25" spans="1:1">
      <c r="A25" t="s">
        <v>581</v>
      </c>
    </row>
    <row r="26" spans="1:1">
      <c r="A26" t="s">
        <v>582</v>
      </c>
    </row>
    <row r="27" spans="1:1">
      <c r="A27" t="s">
        <v>583</v>
      </c>
    </row>
    <row r="28" spans="1:1">
      <c r="A28" t="s">
        <v>584</v>
      </c>
    </row>
    <row r="29" spans="1:1">
      <c r="A29" t="s">
        <v>585</v>
      </c>
    </row>
    <row r="30" spans="1:1">
      <c r="A30" t="s">
        <v>586</v>
      </c>
    </row>
    <row r="31" spans="1:1">
      <c r="A31" t="s">
        <v>587</v>
      </c>
    </row>
    <row r="32" spans="1:1">
      <c r="A32" t="s">
        <v>588</v>
      </c>
    </row>
    <row r="33" spans="1:1">
      <c r="A33" t="s">
        <v>589</v>
      </c>
    </row>
    <row r="34" spans="1:1">
      <c r="A34" t="s">
        <v>590</v>
      </c>
    </row>
    <row r="35" spans="1:1">
      <c r="A35" t="s">
        <v>591</v>
      </c>
    </row>
    <row r="36" spans="1:1">
      <c r="A36" t="s">
        <v>592</v>
      </c>
    </row>
    <row r="37" spans="1:1">
      <c r="A37" t="s">
        <v>593</v>
      </c>
    </row>
    <row r="38" spans="1:1">
      <c r="A38" t="s">
        <v>594</v>
      </c>
    </row>
    <row r="39" spans="1:1">
      <c r="A39" t="s">
        <v>595</v>
      </c>
    </row>
    <row r="40" spans="1:1">
      <c r="A40" t="s">
        <v>596</v>
      </c>
    </row>
    <row r="41" spans="1:1">
      <c r="A41" t="s">
        <v>597</v>
      </c>
    </row>
    <row r="42" spans="1:1">
      <c r="A42" t="s">
        <v>598</v>
      </c>
    </row>
    <row r="43" spans="1:1">
      <c r="A43" t="s">
        <v>599</v>
      </c>
    </row>
    <row r="44" spans="1:1">
      <c r="A44" t="s">
        <v>600</v>
      </c>
    </row>
    <row r="45" spans="1:1">
      <c r="A45" t="s">
        <v>601</v>
      </c>
    </row>
    <row r="46" spans="1:1">
      <c r="A46" t="s">
        <v>602</v>
      </c>
    </row>
    <row r="47" spans="1:1">
      <c r="A47" t="s">
        <v>603</v>
      </c>
    </row>
    <row r="48" spans="1:1">
      <c r="A48" t="s">
        <v>604</v>
      </c>
    </row>
    <row r="49" spans="1:2">
      <c r="A49" t="s">
        <v>605</v>
      </c>
    </row>
    <row r="50" spans="1:2">
      <c r="A50" t="s">
        <v>606</v>
      </c>
    </row>
    <row r="51" spans="1:2">
      <c r="A51" t="s">
        <v>607</v>
      </c>
    </row>
    <row r="52" spans="1:2">
      <c r="A52" t="s">
        <v>608</v>
      </c>
    </row>
    <row r="53" spans="1:2">
      <c r="A53" t="s">
        <v>609</v>
      </c>
    </row>
    <row r="54" spans="1:2">
      <c r="A54" t="s">
        <v>610</v>
      </c>
    </row>
    <row r="55" spans="1:2">
      <c r="A55" t="s">
        <v>611</v>
      </c>
    </row>
    <row r="56" spans="1:2">
      <c r="A56" t="s">
        <v>612</v>
      </c>
    </row>
    <row r="57" spans="1:2">
      <c r="A57" t="s">
        <v>613</v>
      </c>
    </row>
    <row r="58" spans="1:2">
      <c r="A58" t="s">
        <v>614</v>
      </c>
    </row>
    <row r="59" spans="1:2">
      <c r="A59" t="s">
        <v>615</v>
      </c>
    </row>
    <row r="60" spans="1:2">
      <c r="A60" t="s">
        <v>616</v>
      </c>
    </row>
    <row r="61" spans="1:2">
      <c r="A61" t="s">
        <v>617</v>
      </c>
    </row>
    <row r="62" spans="1:2">
      <c r="A62" t="s">
        <v>618</v>
      </c>
    </row>
    <row r="63" spans="1:2">
      <c r="A63" t="s">
        <v>619</v>
      </c>
      <c r="B63" t="s">
        <v>620</v>
      </c>
    </row>
    <row r="64" spans="1:2">
      <c r="A64" t="s">
        <v>621</v>
      </c>
    </row>
    <row r="65" spans="1:2">
      <c r="A65" t="s">
        <v>622</v>
      </c>
      <c r="B65" t="s">
        <v>623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E7634-7A0F-4CBC-8A91-EB26313C3D13}">
  <sheetPr codeName="Sheet2">
    <tabColor theme="9" tint="0.79998168889431442"/>
    <pageSetUpPr fitToPage="1"/>
  </sheetPr>
  <dimension ref="A1:N17"/>
  <sheetViews>
    <sheetView zoomScaleNormal="100" workbookViewId="0">
      <selection activeCell="F21" sqref="F21"/>
    </sheetView>
  </sheetViews>
  <sheetFormatPr defaultRowHeight="12.6"/>
  <cols>
    <col min="2" max="2" width="1.140625" customWidth="1"/>
    <col min="3" max="3" width="6.85546875" customWidth="1"/>
    <col min="4" max="4" width="7.5703125" customWidth="1"/>
    <col min="6" max="6" width="10.5703125" customWidth="1"/>
    <col min="13" max="13" width="16.5703125" customWidth="1"/>
    <col min="14" max="14" width="1.42578125" customWidth="1"/>
  </cols>
  <sheetData>
    <row r="1" spans="1:14" ht="12.95">
      <c r="A1" s="38" t="s">
        <v>133</v>
      </c>
    </row>
    <row r="2" spans="1:14" ht="9.75" customHeight="1" thickBot="1"/>
    <row r="3" spans="1:14" ht="6.95" customHeight="1">
      <c r="B3" s="1"/>
      <c r="C3" s="2"/>
      <c r="D3" s="2"/>
      <c r="E3" s="2"/>
      <c r="F3" s="2"/>
      <c r="G3" s="2"/>
      <c r="H3" s="2"/>
      <c r="I3" s="2"/>
      <c r="J3" s="2"/>
      <c r="K3" s="2"/>
      <c r="L3" s="2"/>
      <c r="M3" s="2"/>
      <c r="N3" s="3"/>
    </row>
    <row r="4" spans="1:14" ht="15.6">
      <c r="B4" s="4"/>
      <c r="C4" s="427" t="s">
        <v>134</v>
      </c>
      <c r="D4" s="428"/>
      <c r="E4" s="428"/>
      <c r="F4" s="429"/>
      <c r="G4" s="413"/>
      <c r="H4" s="414"/>
      <c r="I4" s="414"/>
      <c r="J4" s="414"/>
      <c r="K4" s="414"/>
      <c r="L4" s="414"/>
      <c r="M4" s="415"/>
      <c r="N4" s="6"/>
    </row>
    <row r="5" spans="1:14" ht="15.6">
      <c r="B5" s="4"/>
      <c r="C5" s="152"/>
      <c r="D5" s="149"/>
      <c r="E5" s="153"/>
      <c r="F5" s="149"/>
      <c r="G5" s="149"/>
      <c r="H5" s="149"/>
      <c r="I5" s="149"/>
      <c r="J5" s="149"/>
      <c r="K5" s="149"/>
      <c r="L5" s="149"/>
      <c r="M5" s="149"/>
      <c r="N5" s="6"/>
    </row>
    <row r="6" spans="1:14" ht="91.5" customHeight="1">
      <c r="B6" s="4"/>
      <c r="C6" s="425" t="s">
        <v>135</v>
      </c>
      <c r="D6" s="426"/>
      <c r="E6" s="430"/>
      <c r="F6" s="431"/>
      <c r="G6" s="431"/>
      <c r="H6" s="431"/>
      <c r="I6" s="431"/>
      <c r="J6" s="431"/>
      <c r="K6" s="431"/>
      <c r="L6" s="431"/>
      <c r="M6" s="432"/>
      <c r="N6" s="6"/>
    </row>
    <row r="7" spans="1:14" ht="15.6">
      <c r="B7" s="4"/>
      <c r="C7" s="152"/>
      <c r="D7" s="149"/>
      <c r="E7" s="153"/>
      <c r="F7" s="149"/>
      <c r="G7" s="149"/>
      <c r="H7" s="149"/>
      <c r="I7" s="149"/>
      <c r="J7" s="149"/>
      <c r="K7" s="149"/>
      <c r="L7" s="149"/>
      <c r="M7" s="149"/>
      <c r="N7" s="6"/>
    </row>
    <row r="8" spans="1:14" ht="99.75" customHeight="1">
      <c r="B8" s="4"/>
      <c r="C8" s="425" t="s">
        <v>136</v>
      </c>
      <c r="D8" s="426"/>
      <c r="E8" s="430" t="s">
        <v>137</v>
      </c>
      <c r="F8" s="431"/>
      <c r="G8" s="431"/>
      <c r="H8" s="431"/>
      <c r="I8" s="431"/>
      <c r="J8" s="431"/>
      <c r="K8" s="431"/>
      <c r="L8" s="431"/>
      <c r="M8" s="432"/>
      <c r="N8" s="6"/>
    </row>
    <row r="9" spans="1:14" ht="15.6">
      <c r="B9" s="4"/>
      <c r="C9" s="152"/>
      <c r="D9" s="149"/>
      <c r="E9" s="153"/>
      <c r="F9" s="149"/>
      <c r="G9" s="149"/>
      <c r="H9" s="149"/>
      <c r="I9" s="149"/>
      <c r="J9" s="149"/>
      <c r="K9" s="149"/>
      <c r="L9" s="149"/>
      <c r="M9" s="149"/>
      <c r="N9" s="6"/>
    </row>
    <row r="10" spans="1:14" ht="15.6">
      <c r="B10" s="4"/>
      <c r="C10" s="154" t="s">
        <v>138</v>
      </c>
      <c r="D10" s="413"/>
      <c r="E10" s="414"/>
      <c r="F10" s="414"/>
      <c r="G10" s="414"/>
      <c r="H10" s="414"/>
      <c r="I10" s="414"/>
      <c r="J10" s="414"/>
      <c r="K10" s="414"/>
      <c r="L10" s="414"/>
      <c r="M10" s="415"/>
      <c r="N10" s="6"/>
    </row>
    <row r="11" spans="1:14" ht="15.6">
      <c r="B11" s="4"/>
      <c r="C11" s="149"/>
      <c r="D11" s="149"/>
      <c r="E11" s="149"/>
      <c r="F11" s="149"/>
      <c r="G11" s="149"/>
      <c r="H11" s="149"/>
      <c r="I11" s="149"/>
      <c r="J11" s="149"/>
      <c r="K11" s="149"/>
      <c r="L11" s="149"/>
      <c r="M11" s="149"/>
      <c r="N11" s="6"/>
    </row>
    <row r="12" spans="1:14" ht="15.6">
      <c r="B12" s="4"/>
      <c r="C12" s="427" t="s">
        <v>139</v>
      </c>
      <c r="D12" s="428"/>
      <c r="E12" s="428"/>
      <c r="F12" s="428"/>
      <c r="G12" s="428"/>
      <c r="H12" s="428"/>
      <c r="I12" s="428"/>
      <c r="J12" s="428"/>
      <c r="K12" s="428"/>
      <c r="L12" s="428"/>
      <c r="M12" s="429"/>
      <c r="N12" s="6"/>
    </row>
    <row r="13" spans="1:14">
      <c r="B13" s="4"/>
      <c r="C13" s="416"/>
      <c r="D13" s="417"/>
      <c r="E13" s="417"/>
      <c r="F13" s="417"/>
      <c r="G13" s="417"/>
      <c r="H13" s="417"/>
      <c r="I13" s="417"/>
      <c r="J13" s="417"/>
      <c r="K13" s="417"/>
      <c r="L13" s="417"/>
      <c r="M13" s="418"/>
      <c r="N13" s="6"/>
    </row>
    <row r="14" spans="1:14">
      <c r="B14" s="4"/>
      <c r="C14" s="419"/>
      <c r="D14" s="420"/>
      <c r="E14" s="420"/>
      <c r="F14" s="420"/>
      <c r="G14" s="420"/>
      <c r="H14" s="420"/>
      <c r="I14" s="420"/>
      <c r="J14" s="420"/>
      <c r="K14" s="420"/>
      <c r="L14" s="420"/>
      <c r="M14" s="421"/>
      <c r="N14" s="6"/>
    </row>
    <row r="15" spans="1:14">
      <c r="B15" s="4"/>
      <c r="C15" s="419"/>
      <c r="D15" s="420"/>
      <c r="E15" s="420"/>
      <c r="F15" s="420"/>
      <c r="G15" s="420"/>
      <c r="H15" s="420"/>
      <c r="I15" s="420"/>
      <c r="J15" s="420"/>
      <c r="K15" s="420"/>
      <c r="L15" s="420"/>
      <c r="M15" s="421"/>
      <c r="N15" s="6"/>
    </row>
    <row r="16" spans="1:14" ht="71.25" customHeight="1">
      <c r="B16" s="4"/>
      <c r="C16" s="422"/>
      <c r="D16" s="423"/>
      <c r="E16" s="423"/>
      <c r="F16" s="423"/>
      <c r="G16" s="423"/>
      <c r="H16" s="423"/>
      <c r="I16" s="423"/>
      <c r="J16" s="423"/>
      <c r="K16" s="423"/>
      <c r="L16" s="423"/>
      <c r="M16" s="424"/>
      <c r="N16" s="6"/>
    </row>
    <row r="17" spans="2:14" ht="6.95" customHeight="1" thickBot="1">
      <c r="B17" s="7"/>
      <c r="C17" s="8"/>
      <c r="D17" s="8"/>
      <c r="E17" s="8"/>
      <c r="F17" s="8"/>
      <c r="G17" s="8"/>
      <c r="H17" s="8"/>
      <c r="I17" s="8"/>
      <c r="J17" s="8"/>
      <c r="K17" s="8"/>
      <c r="L17" s="8"/>
      <c r="M17" s="8"/>
      <c r="N17" s="9"/>
    </row>
  </sheetData>
  <sheetProtection selectLockedCells="1"/>
  <mergeCells count="9">
    <mergeCell ref="G4:M4"/>
    <mergeCell ref="D10:M10"/>
    <mergeCell ref="C13:M16"/>
    <mergeCell ref="C6:D6"/>
    <mergeCell ref="C12:M12"/>
    <mergeCell ref="C8:D8"/>
    <mergeCell ref="E6:M6"/>
    <mergeCell ref="E8:M8"/>
    <mergeCell ref="C4:F4"/>
  </mergeCells>
  <pageMargins left="0.70866141732283472" right="0.70866141732283472" top="0.74803149606299213" bottom="0.74803149606299213" header="0.31496062992125984" footer="0.31496062992125984"/>
  <pageSetup paperSize="9" scale="80" orientation="portrait" r:id="rId1"/>
  <headerFooter>
    <oddHeader>&amp;LPhosphate Budget Calculator&amp;CProject Title</oddHeader>
    <oddFooter>&amp;LVersion 3&amp;R&amp;D</oddFooter>
  </headerFooter>
  <customProperties>
    <customPr name="SSC_SHEET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70E52-5235-41CA-BD68-07163707C988}">
  <sheetPr codeName="Sheet3">
    <tabColor rgb="FFD6F4FE"/>
    <pageSetUpPr fitToPage="1"/>
  </sheetPr>
  <dimension ref="A1:AX68"/>
  <sheetViews>
    <sheetView zoomScale="85" zoomScaleNormal="85" zoomScalePageLayoutView="70" workbookViewId="0">
      <selection activeCell="V11" sqref="V11"/>
    </sheetView>
  </sheetViews>
  <sheetFormatPr defaultColWidth="0" defaultRowHeight="12.6"/>
  <cols>
    <col min="1" max="1" width="8.7109375" customWidth="1"/>
    <col min="2" max="2" width="2.28515625" customWidth="1"/>
    <col min="3" max="3" width="2.42578125" customWidth="1"/>
    <col min="4" max="4" width="8.7109375" customWidth="1"/>
    <col min="5" max="5" width="13.85546875" customWidth="1"/>
    <col min="6" max="6" width="8.7109375" customWidth="1"/>
    <col min="7" max="7" width="11.85546875" customWidth="1"/>
    <col min="8" max="8" width="1.85546875" customWidth="1"/>
    <col min="9" max="9" width="3.140625" customWidth="1"/>
    <col min="10" max="10" width="7" customWidth="1"/>
    <col min="11" max="11" width="37.42578125" customWidth="1"/>
    <col min="12" max="12" width="19.28515625" customWidth="1"/>
    <col min="13" max="13" width="16.85546875" customWidth="1"/>
    <col min="14" max="14" width="15" customWidth="1"/>
    <col min="15" max="15" width="5.5703125" customWidth="1"/>
    <col min="16" max="16" width="0.5703125" customWidth="1"/>
    <col min="17" max="17" width="4.28515625" hidden="1" customWidth="1"/>
    <col min="18" max="18" width="3.140625" customWidth="1"/>
    <col min="19" max="19" width="2.85546875" customWidth="1"/>
    <col min="20" max="20" width="4.5703125" customWidth="1"/>
    <col min="21" max="21" width="9.85546875" bestFit="1" customWidth="1"/>
    <col min="22" max="22" width="13.85546875" bestFit="1" customWidth="1"/>
    <col min="23" max="23" width="8.7109375" customWidth="1"/>
    <col min="24" max="24" width="18.85546875" customWidth="1"/>
    <col min="25" max="25" width="1.42578125" customWidth="1"/>
    <col min="26" max="26" width="0.85546875" customWidth="1"/>
    <col min="27" max="27" width="15.140625" customWidth="1"/>
    <col min="28" max="28" width="2.7109375" customWidth="1"/>
    <col min="29" max="29" width="4" customWidth="1"/>
    <col min="30" max="30" width="44.28515625" customWidth="1"/>
    <col min="31" max="31" width="17.42578125" customWidth="1"/>
    <col min="32" max="32" width="0.7109375" customWidth="1"/>
    <col min="33" max="33" width="6.85546875" customWidth="1"/>
    <col min="34" max="34" width="1.28515625" customWidth="1"/>
    <col min="35" max="35" width="1.140625" customWidth="1"/>
    <col min="36" max="36" width="8.7109375" customWidth="1"/>
    <col min="37" max="50" width="0" hidden="1" customWidth="1"/>
    <col min="51" max="16384" width="8.85546875" hidden="1"/>
  </cols>
  <sheetData>
    <row r="1" spans="1:35" ht="13.5" thickBot="1">
      <c r="A1" s="38" t="s">
        <v>19</v>
      </c>
    </row>
    <row r="2" spans="1:35" ht="3.75" customHeight="1">
      <c r="C2" s="38"/>
      <c r="D2" s="38"/>
      <c r="E2" s="38"/>
      <c r="F2" s="38"/>
      <c r="G2" s="38"/>
      <c r="H2" s="41"/>
      <c r="I2" s="42"/>
      <c r="J2" s="42"/>
      <c r="K2" s="42"/>
      <c r="L2" s="42"/>
      <c r="M2" s="42"/>
      <c r="N2" s="42"/>
      <c r="O2" s="42"/>
      <c r="P2" s="42"/>
      <c r="Q2" s="42"/>
      <c r="R2" s="42"/>
      <c r="S2" s="42"/>
      <c r="T2" s="42"/>
      <c r="U2" s="42"/>
      <c r="V2" s="42"/>
      <c r="W2" s="42"/>
      <c r="X2" s="42"/>
      <c r="Y2" s="42"/>
      <c r="Z2" s="43"/>
      <c r="AA2" s="38"/>
      <c r="AB2" s="38"/>
      <c r="AC2" s="38"/>
      <c r="AD2" s="38"/>
      <c r="AE2" s="38"/>
      <c r="AF2" s="38"/>
      <c r="AG2" s="38"/>
      <c r="AH2" s="38"/>
      <c r="AI2" s="38"/>
    </row>
    <row r="3" spans="1:35" ht="38.450000000000003" customHeight="1">
      <c r="C3" s="38"/>
      <c r="D3" s="151"/>
      <c r="E3" s="151"/>
      <c r="F3" s="151"/>
      <c r="G3" s="151"/>
      <c r="H3" s="155"/>
      <c r="I3" s="397" t="s">
        <v>140</v>
      </c>
      <c r="J3" s="397"/>
      <c r="K3" s="440" t="s">
        <v>141</v>
      </c>
      <c r="L3" s="440"/>
      <c r="M3" s="440"/>
      <c r="N3" s="440"/>
      <c r="O3" s="440"/>
      <c r="P3" s="440"/>
      <c r="Q3" s="440"/>
      <c r="R3" s="440"/>
      <c r="S3" s="440"/>
      <c r="T3" s="440"/>
      <c r="U3" s="440"/>
      <c r="V3" s="440"/>
      <c r="W3" s="440"/>
      <c r="X3" s="440"/>
      <c r="Y3" s="156"/>
      <c r="Z3" s="157"/>
      <c r="AA3" s="151"/>
      <c r="AB3" s="151"/>
      <c r="AC3" s="151"/>
      <c r="AD3" s="151"/>
      <c r="AE3" s="151"/>
      <c r="AF3" s="151"/>
      <c r="AG3" s="151"/>
      <c r="AH3" s="151"/>
      <c r="AI3" s="38"/>
    </row>
    <row r="4" spans="1:35" ht="12.75" customHeight="1">
      <c r="C4" s="38"/>
      <c r="D4" s="151"/>
      <c r="E4" s="151"/>
      <c r="F4" s="151"/>
      <c r="G4" s="151"/>
      <c r="H4" s="155"/>
      <c r="I4" s="434" t="s">
        <v>142</v>
      </c>
      <c r="J4" s="434"/>
      <c r="K4" s="434"/>
      <c r="L4" s="434"/>
      <c r="M4" s="434"/>
      <c r="N4" s="434"/>
      <c r="O4" s="434"/>
      <c r="P4" s="434"/>
      <c r="Q4" s="434"/>
      <c r="R4" s="434"/>
      <c r="S4" s="434"/>
      <c r="T4" s="434"/>
      <c r="U4" s="434"/>
      <c r="V4" s="434"/>
      <c r="W4" s="434"/>
      <c r="X4" s="434"/>
      <c r="Y4" s="158"/>
      <c r="Z4" s="157"/>
      <c r="AA4" s="151"/>
      <c r="AB4" s="151"/>
      <c r="AC4" s="151"/>
      <c r="AD4" s="151"/>
      <c r="AE4" s="151"/>
      <c r="AF4" s="151"/>
      <c r="AG4" s="151"/>
      <c r="AH4" s="151"/>
      <c r="AI4" s="38"/>
    </row>
    <row r="5" spans="1:35" ht="15.6">
      <c r="C5" s="38"/>
      <c r="D5" s="151"/>
      <c r="E5" s="151"/>
      <c r="F5" s="151"/>
      <c r="G5" s="151"/>
      <c r="H5" s="155"/>
      <c r="I5" s="434"/>
      <c r="J5" s="434"/>
      <c r="K5" s="434"/>
      <c r="L5" s="434"/>
      <c r="M5" s="434"/>
      <c r="N5" s="434"/>
      <c r="O5" s="434"/>
      <c r="P5" s="434"/>
      <c r="Q5" s="434"/>
      <c r="R5" s="434"/>
      <c r="S5" s="434"/>
      <c r="T5" s="434"/>
      <c r="U5" s="434"/>
      <c r="V5" s="434"/>
      <c r="W5" s="434"/>
      <c r="X5" s="434"/>
      <c r="Y5" s="158"/>
      <c r="Z5" s="157"/>
      <c r="AA5" s="151"/>
      <c r="AB5" s="151"/>
      <c r="AC5" s="151"/>
      <c r="AD5" s="151"/>
      <c r="AE5" s="151"/>
      <c r="AF5" s="151"/>
      <c r="AG5" s="151"/>
      <c r="AH5" s="151"/>
      <c r="AI5" s="38"/>
    </row>
    <row r="6" spans="1:35" ht="62.25" customHeight="1">
      <c r="C6" s="38"/>
      <c r="D6" s="151"/>
      <c r="E6" s="151"/>
      <c r="F6" s="151"/>
      <c r="G6" s="151"/>
      <c r="H6" s="155"/>
      <c r="I6" s="441"/>
      <c r="J6" s="441"/>
      <c r="K6" s="441"/>
      <c r="L6" s="441"/>
      <c r="M6" s="441"/>
      <c r="N6" s="441"/>
      <c r="O6" s="441"/>
      <c r="P6" s="441"/>
      <c r="Q6" s="441"/>
      <c r="R6" s="441"/>
      <c r="S6" s="441"/>
      <c r="T6" s="441"/>
      <c r="U6" s="441"/>
      <c r="V6" s="441"/>
      <c r="W6" s="441"/>
      <c r="X6" s="441"/>
      <c r="Y6" s="158"/>
      <c r="Z6" s="157"/>
      <c r="AA6" s="151"/>
      <c r="AB6" s="151"/>
      <c r="AC6" s="151"/>
      <c r="AD6" s="151"/>
      <c r="AE6" s="151"/>
      <c r="AF6" s="151"/>
      <c r="AG6" s="151"/>
      <c r="AH6" s="151"/>
      <c r="AI6" s="38"/>
    </row>
    <row r="7" spans="1:35" ht="3.95" customHeight="1">
      <c r="C7" s="38"/>
      <c r="D7" s="151"/>
      <c r="E7" s="151"/>
      <c r="F7" s="151"/>
      <c r="G7" s="151"/>
      <c r="H7" s="155"/>
      <c r="I7" s="47"/>
      <c r="J7" s="47"/>
      <c r="K7" s="47"/>
      <c r="L7" s="47"/>
      <c r="M7" s="159"/>
      <c r="N7" s="159"/>
      <c r="O7" s="159"/>
      <c r="P7" s="159"/>
      <c r="Q7" s="159"/>
      <c r="R7" s="159"/>
      <c r="S7" s="159"/>
      <c r="T7" s="159"/>
      <c r="U7" s="159"/>
      <c r="V7" s="159"/>
      <c r="W7" s="159"/>
      <c r="X7" s="159"/>
      <c r="Y7" s="159"/>
      <c r="Z7" s="157"/>
      <c r="AA7" s="151"/>
      <c r="AB7" s="151"/>
      <c r="AC7" s="151"/>
      <c r="AD7" s="151"/>
      <c r="AE7" s="151"/>
      <c r="AF7" s="151"/>
      <c r="AG7" s="151"/>
      <c r="AH7" s="151"/>
      <c r="AI7" s="38"/>
    </row>
    <row r="8" spans="1:35" ht="15.6">
      <c r="C8" s="38"/>
      <c r="D8" s="151"/>
      <c r="E8" s="151"/>
      <c r="F8" s="151"/>
      <c r="G8" s="151"/>
      <c r="H8" s="155"/>
      <c r="I8" s="47"/>
      <c r="J8" s="46" t="s">
        <v>143</v>
      </c>
      <c r="K8" s="394" t="s">
        <v>144</v>
      </c>
      <c r="L8" s="394"/>
      <c r="M8" s="394"/>
      <c r="N8" s="394"/>
      <c r="O8" s="394"/>
      <c r="P8" s="394"/>
      <c r="Q8" s="394"/>
      <c r="R8" s="394"/>
      <c r="S8" s="394"/>
      <c r="T8" s="394"/>
      <c r="U8" s="394"/>
      <c r="V8" s="103" t="s">
        <v>145</v>
      </c>
      <c r="W8" s="103"/>
      <c r="X8" s="103" t="s">
        <v>146</v>
      </c>
      <c r="Y8" s="149"/>
      <c r="Z8" s="157"/>
      <c r="AA8" s="151"/>
      <c r="AB8" s="151"/>
      <c r="AC8" s="151"/>
      <c r="AD8" s="151"/>
      <c r="AE8" s="151"/>
      <c r="AF8" s="151"/>
      <c r="AG8" s="151"/>
      <c r="AH8" s="151"/>
      <c r="AI8" s="38"/>
    </row>
    <row r="9" spans="1:35" ht="3.75" customHeight="1">
      <c r="C9" s="38"/>
      <c r="D9" s="151"/>
      <c r="E9" s="151"/>
      <c r="F9" s="151"/>
      <c r="G9" s="151"/>
      <c r="H9" s="155"/>
      <c r="I9" s="47"/>
      <c r="J9" s="47"/>
      <c r="K9" s="47"/>
      <c r="L9" s="47"/>
      <c r="M9" s="47"/>
      <c r="N9" s="47"/>
      <c r="O9" s="47"/>
      <c r="P9" s="47"/>
      <c r="Q9" s="47"/>
      <c r="R9" s="47"/>
      <c r="S9" s="47"/>
      <c r="T9" s="47"/>
      <c r="U9" s="47"/>
      <c r="V9" s="47"/>
      <c r="W9" s="47"/>
      <c r="X9" s="47"/>
      <c r="Y9" s="149"/>
      <c r="Z9" s="157"/>
      <c r="AA9" s="151"/>
      <c r="AB9" s="151"/>
      <c r="AC9" s="151"/>
      <c r="AD9" s="151"/>
      <c r="AE9" s="151"/>
      <c r="AF9" s="151"/>
      <c r="AG9" s="151"/>
      <c r="AH9" s="151"/>
      <c r="AI9" s="38"/>
    </row>
    <row r="10" spans="1:35" ht="3.75" customHeight="1">
      <c r="C10" s="38"/>
      <c r="D10" s="151"/>
      <c r="E10" s="151"/>
      <c r="F10" s="151"/>
      <c r="G10" s="151"/>
      <c r="H10" s="155"/>
      <c r="I10" s="47"/>
      <c r="J10" s="47"/>
      <c r="K10" s="47"/>
      <c r="L10" s="47"/>
      <c r="M10" s="47"/>
      <c r="N10" s="47"/>
      <c r="O10" s="47"/>
      <c r="P10" s="47"/>
      <c r="Q10" s="47"/>
      <c r="R10" s="47"/>
      <c r="S10" s="47"/>
      <c r="T10" s="47"/>
      <c r="U10" s="47"/>
      <c r="V10" s="47"/>
      <c r="W10" s="47"/>
      <c r="X10" s="47"/>
      <c r="Y10" s="149"/>
      <c r="Z10" s="157"/>
      <c r="AA10" s="151"/>
      <c r="AB10" s="151"/>
      <c r="AC10" s="151"/>
      <c r="AD10" s="151"/>
      <c r="AE10" s="151"/>
      <c r="AF10" s="151"/>
      <c r="AG10" s="151"/>
      <c r="AH10" s="151"/>
      <c r="AI10" s="38"/>
    </row>
    <row r="11" spans="1:35" ht="15.6">
      <c r="C11" s="38"/>
      <c r="D11" s="151"/>
      <c r="E11" s="151"/>
      <c r="F11" s="151"/>
      <c r="G11" s="151"/>
      <c r="H11" s="155"/>
      <c r="I11" s="47"/>
      <c r="J11" s="47" t="s">
        <v>147</v>
      </c>
      <c r="K11" s="394" t="s">
        <v>148</v>
      </c>
      <c r="L11" s="394"/>
      <c r="M11" s="394"/>
      <c r="N11" s="394"/>
      <c r="O11" s="394"/>
      <c r="P11" s="394"/>
      <c r="Q11" s="394"/>
      <c r="R11" s="394"/>
      <c r="S11" s="394"/>
      <c r="T11" s="394"/>
      <c r="U11" s="394"/>
      <c r="V11" s="160"/>
      <c r="W11" s="103"/>
      <c r="X11" s="161" t="s">
        <v>149</v>
      </c>
      <c r="Y11" s="149"/>
      <c r="Z11" s="157"/>
      <c r="AA11" s="151"/>
      <c r="AB11" s="151"/>
      <c r="AC11" s="151"/>
      <c r="AD11" s="162"/>
      <c r="AE11" s="162"/>
      <c r="AF11" s="151"/>
      <c r="AG11" s="151"/>
      <c r="AH11" s="151"/>
      <c r="AI11" s="38"/>
    </row>
    <row r="12" spans="1:35" ht="15.6">
      <c r="C12" s="38"/>
      <c r="D12" s="151"/>
      <c r="E12" s="151"/>
      <c r="F12" s="151"/>
      <c r="G12" s="151"/>
      <c r="H12" s="155"/>
      <c r="I12" s="47"/>
      <c r="J12" s="47"/>
      <c r="K12" s="394" t="s">
        <v>150</v>
      </c>
      <c r="L12" s="394"/>
      <c r="M12" s="394"/>
      <c r="N12" s="394"/>
      <c r="O12" s="163"/>
      <c r="P12" s="163"/>
      <c r="Q12" s="163"/>
      <c r="R12" s="47"/>
      <c r="S12" s="47"/>
      <c r="T12" s="47"/>
      <c r="U12" s="47"/>
      <c r="V12" s="187">
        <v>2.2999999999999998</v>
      </c>
      <c r="W12" s="103"/>
      <c r="X12" s="165" t="s">
        <v>151</v>
      </c>
      <c r="Y12" s="149"/>
      <c r="Z12" s="157"/>
      <c r="AA12" s="151"/>
      <c r="AB12" s="151"/>
      <c r="AC12" s="151"/>
      <c r="AD12" s="162"/>
      <c r="AE12" s="162"/>
      <c r="AF12" s="151"/>
      <c r="AG12" s="151"/>
      <c r="AH12" s="151"/>
      <c r="AI12" s="38"/>
    </row>
    <row r="13" spans="1:35" ht="15.6">
      <c r="C13" s="38"/>
      <c r="D13" s="151"/>
      <c r="E13" s="151"/>
      <c r="F13" s="151"/>
      <c r="G13" s="151"/>
      <c r="H13" s="155"/>
      <c r="I13" s="47"/>
      <c r="J13" s="47"/>
      <c r="K13" s="101"/>
      <c r="L13" s="101"/>
      <c r="M13" s="101"/>
      <c r="N13" s="101"/>
      <c r="O13" s="163"/>
      <c r="P13" s="163"/>
      <c r="Q13" s="163"/>
      <c r="R13" s="47"/>
      <c r="S13" s="47"/>
      <c r="T13" s="47"/>
      <c r="U13" s="47"/>
      <c r="V13" s="103"/>
      <c r="W13" s="103"/>
      <c r="X13" s="165"/>
      <c r="Y13" s="149"/>
      <c r="Z13" s="157"/>
      <c r="AA13" s="151"/>
      <c r="AB13" s="151"/>
      <c r="AC13" s="151"/>
      <c r="AD13" s="162"/>
      <c r="AE13" s="162"/>
      <c r="AF13" s="151"/>
      <c r="AG13" s="151"/>
      <c r="AH13" s="151"/>
      <c r="AI13" s="38"/>
    </row>
    <row r="14" spans="1:35" ht="16.5" customHeight="1">
      <c r="C14" s="38"/>
      <c r="D14" s="151"/>
      <c r="E14" s="151"/>
      <c r="F14" s="151"/>
      <c r="G14" s="151"/>
      <c r="H14" s="155"/>
      <c r="I14" s="47"/>
      <c r="J14" s="47" t="s">
        <v>152</v>
      </c>
      <c r="K14" s="377" t="s">
        <v>153</v>
      </c>
      <c r="L14" s="377"/>
      <c r="M14" s="377"/>
      <c r="N14" s="377"/>
      <c r="O14" s="377"/>
      <c r="P14" s="377"/>
      <c r="Q14" s="377"/>
      <c r="R14" s="377"/>
      <c r="S14" s="377"/>
      <c r="T14" s="377"/>
      <c r="U14" s="377"/>
      <c r="V14" s="160"/>
      <c r="W14" s="103"/>
      <c r="X14" s="161" t="s">
        <v>154</v>
      </c>
      <c r="Y14" s="149"/>
      <c r="Z14" s="157"/>
      <c r="AA14" s="151"/>
      <c r="AB14" s="151"/>
      <c r="AC14" s="151"/>
      <c r="AD14" s="162"/>
      <c r="AE14" s="162"/>
      <c r="AF14" s="151"/>
      <c r="AG14" s="151"/>
      <c r="AH14" s="151"/>
      <c r="AI14" s="38"/>
    </row>
    <row r="15" spans="1:35" ht="15.6">
      <c r="C15" s="38"/>
      <c r="D15" s="151"/>
      <c r="E15" s="151"/>
      <c r="F15" s="151"/>
      <c r="G15" s="151"/>
      <c r="H15" s="155"/>
      <c r="I15" s="47"/>
      <c r="J15" s="47"/>
      <c r="K15" s="394"/>
      <c r="L15" s="394"/>
      <c r="M15" s="394"/>
      <c r="N15" s="394"/>
      <c r="O15" s="394"/>
      <c r="P15" s="394"/>
      <c r="Q15" s="394"/>
      <c r="R15" s="394"/>
      <c r="S15" s="394"/>
      <c r="T15" s="394"/>
      <c r="U15" s="394"/>
      <c r="V15" s="187">
        <v>1</v>
      </c>
      <c r="W15" s="103"/>
      <c r="X15" s="165" t="s">
        <v>155</v>
      </c>
      <c r="Y15" s="149"/>
      <c r="Z15" s="157"/>
      <c r="AA15" s="151"/>
      <c r="AB15" s="151"/>
      <c r="AC15" s="151"/>
      <c r="AD15" s="162"/>
      <c r="AE15" s="162"/>
      <c r="AF15" s="151"/>
      <c r="AG15" s="151"/>
      <c r="AH15" s="151"/>
      <c r="AI15" s="38"/>
    </row>
    <row r="16" spans="1:35" ht="15.6">
      <c r="C16" s="38"/>
      <c r="D16" s="151"/>
      <c r="E16" s="151"/>
      <c r="F16" s="151"/>
      <c r="G16" s="151"/>
      <c r="H16" s="155"/>
      <c r="I16" s="47"/>
      <c r="J16" s="47"/>
      <c r="K16" s="101"/>
      <c r="L16" s="101"/>
      <c r="M16" s="101"/>
      <c r="N16" s="101"/>
      <c r="O16" s="163"/>
      <c r="P16" s="163"/>
      <c r="Q16" s="163"/>
      <c r="R16" s="47"/>
      <c r="S16" s="47"/>
      <c r="T16" s="47"/>
      <c r="U16" s="47"/>
      <c r="V16" s="103"/>
      <c r="W16" s="103"/>
      <c r="X16" s="165"/>
      <c r="Y16" s="149"/>
      <c r="Z16" s="157"/>
      <c r="AA16" s="151"/>
      <c r="AB16" s="151"/>
      <c r="AC16" s="151"/>
      <c r="AD16" s="162"/>
      <c r="AE16" s="162"/>
      <c r="AF16" s="151"/>
      <c r="AG16" s="151"/>
      <c r="AH16" s="151"/>
      <c r="AI16" s="38"/>
    </row>
    <row r="17" spans="3:35" ht="15.6">
      <c r="C17" s="38"/>
      <c r="D17" s="151"/>
      <c r="E17" s="151"/>
      <c r="F17" s="151"/>
      <c r="G17" s="151"/>
      <c r="H17" s="155"/>
      <c r="I17" s="47"/>
      <c r="J17" s="47" t="s">
        <v>156</v>
      </c>
      <c r="K17" s="394" t="s">
        <v>157</v>
      </c>
      <c r="L17" s="394"/>
      <c r="M17" s="394"/>
      <c r="N17" s="394"/>
      <c r="O17" s="394"/>
      <c r="P17" s="394"/>
      <c r="Q17" s="394"/>
      <c r="R17" s="394"/>
      <c r="S17" s="394"/>
      <c r="T17" s="394"/>
      <c r="U17" s="394"/>
      <c r="V17" s="160"/>
      <c r="W17" s="103"/>
      <c r="X17" s="161" t="s">
        <v>154</v>
      </c>
      <c r="Y17" s="149"/>
      <c r="Z17" s="157"/>
      <c r="AA17" s="151"/>
      <c r="AB17" s="151"/>
      <c r="AC17" s="151"/>
      <c r="AD17" s="162"/>
      <c r="AE17" s="162"/>
      <c r="AF17" s="151"/>
      <c r="AG17" s="151"/>
      <c r="AH17" s="151"/>
      <c r="AI17" s="38"/>
    </row>
    <row r="18" spans="3:35" ht="15.6">
      <c r="C18" s="38"/>
      <c r="D18" s="151"/>
      <c r="E18" s="151"/>
      <c r="F18" s="151"/>
      <c r="G18" s="151"/>
      <c r="H18" s="155"/>
      <c r="I18" s="47"/>
      <c r="J18" s="47"/>
      <c r="K18" s="433" t="s">
        <v>150</v>
      </c>
      <c r="L18" s="433"/>
      <c r="M18" s="433"/>
      <c r="N18" s="433"/>
      <c r="O18" s="433"/>
      <c r="P18" s="433"/>
      <c r="Q18" s="433"/>
      <c r="R18" s="433"/>
      <c r="S18" s="433"/>
      <c r="T18" s="433"/>
      <c r="U18" s="433"/>
      <c r="V18" s="342">
        <v>1.6</v>
      </c>
      <c r="W18" s="103"/>
      <c r="X18" s="343" t="s">
        <v>158</v>
      </c>
      <c r="Y18" s="149"/>
      <c r="Z18" s="157"/>
      <c r="AA18" s="151"/>
      <c r="AB18" s="151"/>
      <c r="AC18" s="151"/>
      <c r="AD18" s="162"/>
      <c r="AE18" s="162"/>
      <c r="AF18" s="151"/>
      <c r="AG18" s="151"/>
      <c r="AH18" s="151"/>
      <c r="AI18" s="38"/>
    </row>
    <row r="19" spans="3:35" ht="15.6">
      <c r="C19" s="38"/>
      <c r="D19" s="151"/>
      <c r="E19" s="151"/>
      <c r="F19" s="151"/>
      <c r="G19" s="151"/>
      <c r="H19" s="155"/>
      <c r="I19" s="47"/>
      <c r="J19" s="47"/>
      <c r="K19" s="433" t="s">
        <v>159</v>
      </c>
      <c r="L19" s="433"/>
      <c r="M19" s="433"/>
      <c r="N19" s="433"/>
      <c r="O19" s="433"/>
      <c r="P19" s="433"/>
      <c r="Q19" s="433"/>
      <c r="R19" s="433"/>
      <c r="S19" s="433"/>
      <c r="T19" s="433"/>
      <c r="U19" s="433"/>
      <c r="V19" s="344"/>
      <c r="W19" s="103"/>
      <c r="X19" s="343" t="s">
        <v>160</v>
      </c>
      <c r="Y19" s="149"/>
      <c r="Z19" s="157"/>
      <c r="AA19" s="151"/>
      <c r="AB19" s="151"/>
      <c r="AC19" s="151"/>
      <c r="AD19" s="162"/>
      <c r="AE19" s="162"/>
      <c r="AF19" s="151"/>
      <c r="AG19" s="151"/>
      <c r="AH19" s="151"/>
      <c r="AI19" s="38"/>
    </row>
    <row r="20" spans="3:35" ht="15.6">
      <c r="C20" s="38"/>
      <c r="D20" s="151"/>
      <c r="E20" s="151"/>
      <c r="F20" s="151"/>
      <c r="G20" s="151"/>
      <c r="H20" s="155"/>
      <c r="I20" s="47"/>
      <c r="J20" s="47"/>
      <c r="K20" s="433" t="s">
        <v>161</v>
      </c>
      <c r="L20" s="433"/>
      <c r="M20" s="433"/>
      <c r="N20" s="433"/>
      <c r="O20" s="433"/>
      <c r="P20" s="433"/>
      <c r="Q20" s="433"/>
      <c r="R20" s="433"/>
      <c r="S20" s="433"/>
      <c r="T20" s="433"/>
      <c r="U20" s="433"/>
      <c r="V20" s="344"/>
      <c r="W20" s="103"/>
      <c r="X20" s="161" t="s">
        <v>162</v>
      </c>
      <c r="Y20" s="149"/>
      <c r="Z20" s="157"/>
      <c r="AA20" s="151"/>
      <c r="AB20" s="151"/>
      <c r="AC20" s="151"/>
      <c r="AD20" s="162"/>
      <c r="AE20" s="162"/>
      <c r="AF20" s="151"/>
      <c r="AG20" s="151"/>
      <c r="AH20" s="151"/>
      <c r="AI20" s="38"/>
    </row>
    <row r="21" spans="3:35" ht="15.6">
      <c r="C21" s="38"/>
      <c r="D21" s="151"/>
      <c r="E21" s="151"/>
      <c r="F21" s="151"/>
      <c r="G21" s="151"/>
      <c r="H21" s="155"/>
      <c r="I21" s="47"/>
      <c r="J21" s="47"/>
      <c r="K21" s="341"/>
      <c r="L21" s="341"/>
      <c r="M21" s="341"/>
      <c r="N21" s="341"/>
      <c r="O21" s="341"/>
      <c r="P21" s="341"/>
      <c r="Q21" s="341"/>
      <c r="R21" s="341"/>
      <c r="S21" s="341"/>
      <c r="T21" s="341"/>
      <c r="U21" s="341"/>
      <c r="V21" s="345"/>
      <c r="W21" s="103"/>
      <c r="X21" s="161"/>
      <c r="Y21" s="149"/>
      <c r="Z21" s="157"/>
      <c r="AA21" s="151"/>
      <c r="AB21" s="151"/>
      <c r="AC21" s="151"/>
      <c r="AD21" s="162"/>
      <c r="AE21" s="162"/>
      <c r="AF21" s="151"/>
      <c r="AG21" s="151"/>
      <c r="AH21" s="151"/>
      <c r="AI21" s="38"/>
    </row>
    <row r="22" spans="3:35" ht="15.6">
      <c r="C22" s="38"/>
      <c r="D22" s="151"/>
      <c r="E22" s="151"/>
      <c r="F22" s="151"/>
      <c r="G22" s="151"/>
      <c r="H22" s="155"/>
      <c r="I22" s="47"/>
      <c r="J22" s="47" t="s">
        <v>163</v>
      </c>
      <c r="K22" s="433" t="s">
        <v>164</v>
      </c>
      <c r="L22" s="433"/>
      <c r="M22" s="433"/>
      <c r="N22" s="433"/>
      <c r="O22" s="433"/>
      <c r="P22" s="433"/>
      <c r="Q22" s="433"/>
      <c r="R22" s="433"/>
      <c r="S22" s="433"/>
      <c r="T22" s="433"/>
      <c r="U22" s="433"/>
      <c r="V22" s="160"/>
      <c r="W22" s="103"/>
      <c r="X22" s="161" t="s">
        <v>149</v>
      </c>
      <c r="Y22" s="149"/>
      <c r="Z22" s="157"/>
      <c r="AA22" s="151"/>
      <c r="AB22" s="151"/>
      <c r="AC22" s="151"/>
      <c r="AD22" s="162"/>
      <c r="AE22" s="162"/>
      <c r="AF22" s="151"/>
      <c r="AG22" s="151"/>
      <c r="AH22" s="151"/>
      <c r="AI22" s="38"/>
    </row>
    <row r="23" spans="3:35" ht="15.6">
      <c r="C23" s="38"/>
      <c r="D23" s="151"/>
      <c r="E23" s="151"/>
      <c r="F23" s="151"/>
      <c r="G23" s="151"/>
      <c r="H23" s="155"/>
      <c r="I23" s="47"/>
      <c r="J23" s="47"/>
      <c r="K23" s="394" t="s">
        <v>150</v>
      </c>
      <c r="L23" s="394"/>
      <c r="M23" s="394"/>
      <c r="N23" s="394"/>
      <c r="O23" s="394"/>
      <c r="P23" s="394"/>
      <c r="Q23" s="394"/>
      <c r="R23" s="394"/>
      <c r="S23" s="394"/>
      <c r="T23" s="394"/>
      <c r="U23" s="394"/>
      <c r="V23" s="187">
        <v>2.2999999999999998</v>
      </c>
      <c r="W23" s="103"/>
      <c r="X23" s="165" t="s">
        <v>151</v>
      </c>
      <c r="Y23" s="149"/>
      <c r="Z23" s="157"/>
      <c r="AA23" s="151"/>
      <c r="AB23" s="151"/>
      <c r="AC23" s="151"/>
      <c r="AD23" s="162"/>
      <c r="AE23" s="162"/>
      <c r="AF23" s="151"/>
      <c r="AG23" s="151"/>
      <c r="AH23" s="151"/>
      <c r="AI23" s="38"/>
    </row>
    <row r="24" spans="3:35" ht="15.6">
      <c r="C24" s="38"/>
      <c r="D24" s="151"/>
      <c r="E24" s="151"/>
      <c r="F24" s="151"/>
      <c r="G24" s="151"/>
      <c r="H24" s="155"/>
      <c r="I24" s="47"/>
      <c r="J24" s="47"/>
      <c r="K24" s="394" t="s">
        <v>159</v>
      </c>
      <c r="L24" s="394"/>
      <c r="M24" s="394"/>
      <c r="N24" s="394"/>
      <c r="O24" s="394"/>
      <c r="P24" s="394"/>
      <c r="Q24" s="394"/>
      <c r="R24" s="394"/>
      <c r="S24" s="394"/>
      <c r="T24" s="394"/>
      <c r="U24" s="394"/>
      <c r="V24" s="160"/>
      <c r="W24" s="103"/>
      <c r="X24" s="165" t="s">
        <v>160</v>
      </c>
      <c r="Y24" s="149"/>
      <c r="Z24" s="157"/>
      <c r="AA24" s="151"/>
      <c r="AB24" s="151"/>
      <c r="AC24" s="151"/>
      <c r="AD24" s="162"/>
      <c r="AE24" s="162"/>
      <c r="AF24" s="151"/>
      <c r="AG24" s="151"/>
      <c r="AH24" s="151"/>
      <c r="AI24" s="38"/>
    </row>
    <row r="25" spans="3:35" ht="12.75" customHeight="1">
      <c r="C25" s="38"/>
      <c r="D25" s="151"/>
      <c r="E25" s="151"/>
      <c r="F25" s="151"/>
      <c r="G25" s="151"/>
      <c r="H25" s="155"/>
      <c r="I25" s="47"/>
      <c r="J25" s="47"/>
      <c r="K25" s="394" t="s">
        <v>161</v>
      </c>
      <c r="L25" s="394"/>
      <c r="M25" s="394"/>
      <c r="N25" s="394"/>
      <c r="O25" s="394"/>
      <c r="P25" s="394"/>
      <c r="Q25" s="394"/>
      <c r="R25" s="394"/>
      <c r="S25" s="394"/>
      <c r="T25" s="394"/>
      <c r="U25" s="394"/>
      <c r="V25" s="160"/>
      <c r="W25" s="103"/>
      <c r="X25" s="161" t="s">
        <v>162</v>
      </c>
      <c r="Y25" s="149"/>
      <c r="Z25" s="157"/>
      <c r="AA25" s="151"/>
      <c r="AB25" s="151"/>
      <c r="AC25" s="151"/>
      <c r="AD25" s="162"/>
      <c r="AE25" s="162"/>
      <c r="AF25" s="151"/>
      <c r="AG25" s="151"/>
      <c r="AH25" s="151"/>
      <c r="AI25" s="38"/>
    </row>
    <row r="26" spans="3:35" ht="8.4499999999999993" customHeight="1">
      <c r="C26" s="38"/>
      <c r="D26" s="151"/>
      <c r="E26" s="151"/>
      <c r="F26" s="151"/>
      <c r="G26" s="151"/>
      <c r="H26" s="155"/>
      <c r="I26" s="47"/>
      <c r="J26" s="47"/>
      <c r="K26" s="47"/>
      <c r="L26" s="47"/>
      <c r="M26" s="47"/>
      <c r="N26" s="47"/>
      <c r="O26" s="47"/>
      <c r="P26" s="47"/>
      <c r="Q26" s="47"/>
      <c r="R26" s="47"/>
      <c r="S26" s="47"/>
      <c r="T26" s="47"/>
      <c r="U26" s="47"/>
      <c r="V26" s="103"/>
      <c r="W26" s="103"/>
      <c r="X26" s="161"/>
      <c r="Y26" s="149"/>
      <c r="Z26" s="157"/>
      <c r="AA26" s="151"/>
      <c r="AB26" s="151"/>
      <c r="AC26" s="151"/>
      <c r="AD26" s="162"/>
      <c r="AE26" s="162"/>
      <c r="AF26" s="151"/>
      <c r="AG26" s="151"/>
      <c r="AH26" s="151"/>
      <c r="AI26" s="38"/>
    </row>
    <row r="27" spans="3:35" ht="15" customHeight="1">
      <c r="C27" s="38"/>
      <c r="D27" s="151"/>
      <c r="E27" s="151"/>
      <c r="F27" s="151"/>
      <c r="G27" s="151"/>
      <c r="H27" s="155"/>
      <c r="I27" s="47"/>
      <c r="J27" s="47"/>
      <c r="K27" s="396" t="s">
        <v>165</v>
      </c>
      <c r="L27" s="396"/>
      <c r="M27" s="396"/>
      <c r="N27" s="396"/>
      <c r="O27" s="396"/>
      <c r="P27" s="396"/>
      <c r="Q27" s="396"/>
      <c r="R27" s="396"/>
      <c r="S27" s="396"/>
      <c r="T27" s="396"/>
      <c r="U27" s="396"/>
      <c r="V27" s="348">
        <f>(V11*V12)+(IF(V14&gt;0,6+(V14*V15),0))+((V22*V23)*(V24/52)*(V25/100)+(V17*V18)*(V19/52)*(V20/100))</f>
        <v>0</v>
      </c>
      <c r="W27" s="166"/>
      <c r="X27" s="167" t="s">
        <v>166</v>
      </c>
      <c r="Y27" s="149"/>
      <c r="Z27" s="157"/>
      <c r="AA27" s="151"/>
      <c r="AB27" s="151"/>
      <c r="AC27" s="151"/>
      <c r="AD27" s="162"/>
      <c r="AE27" s="162"/>
      <c r="AF27" s="151"/>
      <c r="AG27" s="151"/>
      <c r="AH27" s="151"/>
      <c r="AI27" s="38"/>
    </row>
    <row r="28" spans="3:35" ht="15" customHeight="1">
      <c r="C28" s="38"/>
      <c r="D28" s="151"/>
      <c r="E28" s="151"/>
      <c r="F28" s="151"/>
      <c r="G28" s="151"/>
      <c r="H28" s="155"/>
      <c r="I28" s="168"/>
      <c r="J28" s="168"/>
      <c r="K28" s="169"/>
      <c r="L28" s="169"/>
      <c r="M28" s="169"/>
      <c r="N28" s="169"/>
      <c r="O28" s="169"/>
      <c r="P28" s="169"/>
      <c r="Q28" s="169"/>
      <c r="R28" s="169"/>
      <c r="S28" s="169"/>
      <c r="T28" s="169"/>
      <c r="U28" s="169"/>
      <c r="V28" s="170"/>
      <c r="W28" s="170"/>
      <c r="X28" s="171"/>
      <c r="Y28" s="149"/>
      <c r="Z28" s="157"/>
      <c r="AA28" s="151"/>
      <c r="AB28" s="151"/>
      <c r="AC28" s="151"/>
      <c r="AD28" s="162"/>
      <c r="AE28" s="162"/>
      <c r="AF28" s="151"/>
      <c r="AG28" s="151"/>
      <c r="AH28" s="151"/>
      <c r="AI28" s="38"/>
    </row>
    <row r="29" spans="3:35" ht="15" customHeight="1">
      <c r="C29" s="38"/>
      <c r="D29" s="151"/>
      <c r="E29" s="151"/>
      <c r="F29" s="151"/>
      <c r="G29" s="151"/>
      <c r="H29" s="155"/>
      <c r="I29" s="47"/>
      <c r="J29" s="47"/>
      <c r="K29" s="119"/>
      <c r="L29" s="119"/>
      <c r="M29" s="119"/>
      <c r="N29" s="119"/>
      <c r="O29" s="119"/>
      <c r="P29" s="119"/>
      <c r="Q29" s="119"/>
      <c r="R29" s="119"/>
      <c r="S29" s="119"/>
      <c r="T29" s="119"/>
      <c r="U29" s="119"/>
      <c r="V29" s="166"/>
      <c r="W29" s="166"/>
      <c r="X29" s="167"/>
      <c r="Y29" s="149"/>
      <c r="Z29" s="157"/>
      <c r="AA29" s="151"/>
      <c r="AB29" s="151"/>
      <c r="AC29" s="151"/>
      <c r="AD29" s="162"/>
      <c r="AE29" s="162"/>
      <c r="AF29" s="151"/>
      <c r="AG29" s="151"/>
      <c r="AH29" s="151"/>
      <c r="AI29" s="38"/>
    </row>
    <row r="30" spans="3:35" ht="15" customHeight="1">
      <c r="C30" s="38"/>
      <c r="D30" s="151"/>
      <c r="E30" s="151"/>
      <c r="F30" s="151"/>
      <c r="G30" s="151"/>
      <c r="H30" s="155"/>
      <c r="I30" s="47"/>
      <c r="J30" s="46" t="s">
        <v>167</v>
      </c>
      <c r="K30" s="377" t="s">
        <v>168</v>
      </c>
      <c r="L30" s="377"/>
      <c r="M30" s="377"/>
      <c r="N30" s="377"/>
      <c r="O30" s="119"/>
      <c r="P30" s="119"/>
      <c r="Q30" s="119"/>
      <c r="R30" s="119"/>
      <c r="S30" s="119"/>
      <c r="T30" s="119"/>
      <c r="U30" s="119"/>
      <c r="V30" s="166"/>
      <c r="W30" s="166"/>
      <c r="X30" s="167"/>
      <c r="Y30" s="149"/>
      <c r="Z30" s="157"/>
      <c r="AA30" s="151"/>
      <c r="AB30" s="151"/>
      <c r="AC30" s="151"/>
      <c r="AD30" s="162"/>
      <c r="AE30" s="162"/>
      <c r="AF30" s="151"/>
      <c r="AG30" s="151"/>
      <c r="AH30" s="151"/>
      <c r="AI30" s="38"/>
    </row>
    <row r="31" spans="3:35" ht="15" customHeight="1">
      <c r="C31" s="38"/>
      <c r="D31" s="151"/>
      <c r="E31" s="151"/>
      <c r="F31" s="151"/>
      <c r="G31" s="151"/>
      <c r="H31" s="155"/>
      <c r="I31" s="47"/>
      <c r="J31" s="47"/>
      <c r="K31" s="119"/>
      <c r="L31" s="119"/>
      <c r="M31" s="119"/>
      <c r="N31" s="119"/>
      <c r="O31" s="119"/>
      <c r="P31" s="119"/>
      <c r="Q31" s="119"/>
      <c r="R31" s="119"/>
      <c r="S31" s="119"/>
      <c r="T31" s="119"/>
      <c r="U31" s="119"/>
      <c r="V31" s="166"/>
      <c r="W31" s="166"/>
      <c r="X31" s="167"/>
      <c r="Y31" s="149"/>
      <c r="Z31" s="157"/>
      <c r="AA31" s="151"/>
      <c r="AB31" s="151"/>
      <c r="AC31" s="151"/>
      <c r="AD31" s="162"/>
      <c r="AE31" s="162"/>
      <c r="AF31" s="151"/>
      <c r="AG31" s="151"/>
      <c r="AH31" s="151"/>
      <c r="AI31" s="38"/>
    </row>
    <row r="32" spans="3:35" ht="15" customHeight="1">
      <c r="C32" s="38"/>
      <c r="D32" s="151"/>
      <c r="E32" s="151"/>
      <c r="F32" s="151"/>
      <c r="G32" s="151"/>
      <c r="H32" s="155"/>
      <c r="I32" s="47"/>
      <c r="J32" s="47"/>
      <c r="K32" s="394" t="s">
        <v>169</v>
      </c>
      <c r="L32" s="394"/>
      <c r="M32" s="394"/>
      <c r="N32" s="394"/>
      <c r="O32" s="119"/>
      <c r="P32" s="119"/>
      <c r="Q32" s="119"/>
      <c r="R32" s="119"/>
      <c r="S32" s="119"/>
      <c r="T32" s="119"/>
      <c r="U32" s="119"/>
      <c r="V32" s="253">
        <v>120</v>
      </c>
      <c r="W32" s="166"/>
      <c r="X32" s="436" t="s">
        <v>170</v>
      </c>
      <c r="Y32" s="436"/>
      <c r="Z32" s="157"/>
      <c r="AA32" s="151"/>
      <c r="AB32" s="151"/>
      <c r="AC32" s="151"/>
      <c r="AD32" s="162"/>
      <c r="AE32" s="162"/>
      <c r="AF32" s="151"/>
      <c r="AG32" s="151"/>
      <c r="AH32" s="151"/>
      <c r="AI32" s="38"/>
    </row>
    <row r="33" spans="2:47" ht="15" customHeight="1">
      <c r="C33" s="38"/>
      <c r="D33" s="151"/>
      <c r="E33" s="151"/>
      <c r="F33" s="151"/>
      <c r="G33" s="151"/>
      <c r="H33" s="155"/>
      <c r="I33" s="47"/>
      <c r="J33" s="47"/>
      <c r="K33" s="119"/>
      <c r="L33" s="119"/>
      <c r="M33" s="119"/>
      <c r="N33" s="119"/>
      <c r="O33" s="119"/>
      <c r="P33" s="119"/>
      <c r="Q33" s="119"/>
      <c r="R33" s="119"/>
      <c r="S33" s="119"/>
      <c r="T33" s="119"/>
      <c r="U33" s="119"/>
      <c r="V33" s="166"/>
      <c r="W33" s="166"/>
      <c r="X33" s="167"/>
      <c r="Y33" s="149"/>
      <c r="Z33" s="157"/>
      <c r="AA33" s="151"/>
      <c r="AB33" s="151"/>
      <c r="AC33" s="151"/>
      <c r="AD33" s="162"/>
      <c r="AE33" s="162"/>
      <c r="AF33" s="151"/>
      <c r="AG33" s="151"/>
      <c r="AH33" s="151"/>
      <c r="AI33" s="38"/>
    </row>
    <row r="34" spans="2:47" ht="15.6">
      <c r="C34" s="38"/>
      <c r="D34" s="151"/>
      <c r="E34" s="151"/>
      <c r="F34" s="151"/>
      <c r="G34" s="151"/>
      <c r="H34" s="155"/>
      <c r="I34" s="47"/>
      <c r="J34" s="47"/>
      <c r="K34" s="393" t="s">
        <v>171</v>
      </c>
      <c r="L34" s="393"/>
      <c r="M34" s="393"/>
      <c r="N34" s="393"/>
      <c r="O34" s="393"/>
      <c r="P34" s="393"/>
      <c r="Q34" s="393"/>
      <c r="R34" s="393"/>
      <c r="S34" s="47"/>
      <c r="T34" s="47"/>
      <c r="U34" s="47"/>
      <c r="V34" s="172">
        <f>V32*V27</f>
        <v>0</v>
      </c>
      <c r="W34" s="166"/>
      <c r="X34" s="167" t="s">
        <v>172</v>
      </c>
      <c r="Y34" s="149"/>
      <c r="Z34" s="157"/>
      <c r="AA34" s="151"/>
      <c r="AB34" s="151"/>
      <c r="AC34" s="151"/>
      <c r="AD34" s="162"/>
      <c r="AE34" s="162"/>
      <c r="AF34" s="151"/>
      <c r="AG34" s="151"/>
      <c r="AH34" s="151"/>
      <c r="AI34" s="38"/>
    </row>
    <row r="35" spans="2:47" ht="15.95" customHeight="1">
      <c r="C35" s="38"/>
      <c r="D35" s="151"/>
      <c r="E35" s="151"/>
      <c r="F35" s="151"/>
      <c r="G35" s="151"/>
      <c r="H35" s="155"/>
      <c r="I35" s="434"/>
      <c r="J35" s="434"/>
      <c r="K35" s="434"/>
      <c r="L35" s="434"/>
      <c r="M35" s="434"/>
      <c r="N35" s="434"/>
      <c r="O35" s="434"/>
      <c r="P35" s="434"/>
      <c r="Q35" s="434"/>
      <c r="R35" s="434"/>
      <c r="S35" s="434"/>
      <c r="T35" s="434"/>
      <c r="U35" s="434"/>
      <c r="V35" s="434"/>
      <c r="W35" s="434"/>
      <c r="X35" s="434"/>
      <c r="Y35" s="158"/>
      <c r="Z35" s="157"/>
      <c r="AA35" s="151"/>
      <c r="AB35" s="151"/>
      <c r="AC35" s="151"/>
      <c r="AD35" s="162"/>
      <c r="AE35" s="162"/>
      <c r="AF35" s="151"/>
      <c r="AG35" s="151"/>
      <c r="AH35" s="151"/>
      <c r="AI35" s="38"/>
    </row>
    <row r="36" spans="2:47" ht="11.25" customHeight="1" thickBot="1">
      <c r="C36" s="115"/>
      <c r="D36" s="173"/>
      <c r="E36" s="173"/>
      <c r="F36" s="173"/>
      <c r="G36" s="174"/>
      <c r="H36" s="155"/>
      <c r="I36" s="47"/>
      <c r="J36" s="47"/>
      <c r="K36" s="47"/>
      <c r="L36" s="47"/>
      <c r="M36" s="175"/>
      <c r="N36" s="175"/>
      <c r="O36" s="175"/>
      <c r="P36" s="175"/>
      <c r="Q36" s="175"/>
      <c r="R36" s="175"/>
      <c r="S36" s="175"/>
      <c r="T36" s="175"/>
      <c r="U36" s="175"/>
      <c r="V36" s="175"/>
      <c r="W36" s="175"/>
      <c r="X36" s="175"/>
      <c r="Y36" s="176"/>
      <c r="Z36" s="157"/>
      <c r="AA36" s="173"/>
      <c r="AB36" s="173"/>
      <c r="AC36" s="173"/>
      <c r="AD36" s="177"/>
      <c r="AE36" s="177"/>
      <c r="AF36" s="173"/>
      <c r="AG36" s="173"/>
      <c r="AH36" s="173"/>
      <c r="AI36" s="38"/>
    </row>
    <row r="37" spans="2:47" ht="53.45" customHeight="1">
      <c r="C37" s="41"/>
      <c r="D37" s="47"/>
      <c r="E37" s="47"/>
      <c r="F37" s="47"/>
      <c r="G37" s="47"/>
      <c r="H37" s="47"/>
      <c r="I37" s="377" t="s">
        <v>173</v>
      </c>
      <c r="J37" s="377"/>
      <c r="K37" s="377"/>
      <c r="L37" s="377"/>
      <c r="M37" s="377"/>
      <c r="N37" s="377"/>
      <c r="O37" s="377"/>
      <c r="P37" s="377"/>
      <c r="Q37" s="377"/>
      <c r="R37" s="377"/>
      <c r="S37" s="377"/>
      <c r="T37" s="377"/>
      <c r="U37" s="377"/>
      <c r="V37" s="377"/>
      <c r="W37" s="377"/>
      <c r="X37" s="377"/>
      <c r="Y37" s="175"/>
      <c r="Z37" s="47"/>
      <c r="AA37" s="47"/>
      <c r="AB37" s="47"/>
      <c r="AC37" s="47"/>
      <c r="AD37" s="103"/>
      <c r="AE37" s="103"/>
      <c r="AF37" s="47"/>
      <c r="AG37" s="47"/>
      <c r="AH37" s="47"/>
      <c r="AI37" s="43"/>
      <c r="AJ37" s="33"/>
    </row>
    <row r="38" spans="2:47" ht="11.25" customHeight="1">
      <c r="B38" s="17"/>
      <c r="C38" s="40"/>
      <c r="D38" s="47"/>
      <c r="E38" s="47"/>
      <c r="F38" s="47"/>
      <c r="G38" s="47"/>
      <c r="H38" s="47"/>
      <c r="I38" s="47"/>
      <c r="J38" s="47"/>
      <c r="K38" s="47"/>
      <c r="L38" s="47"/>
      <c r="M38" s="175"/>
      <c r="N38" s="175"/>
      <c r="O38" s="175"/>
      <c r="P38" s="175"/>
      <c r="Q38" s="175"/>
      <c r="R38" s="175"/>
      <c r="S38" s="175"/>
      <c r="T38" s="175"/>
      <c r="U38" s="175"/>
      <c r="V38" s="175"/>
      <c r="W38" s="175"/>
      <c r="X38" s="175"/>
      <c r="Y38" s="175"/>
      <c r="Z38" s="47"/>
      <c r="AA38" s="47"/>
      <c r="AB38" s="47"/>
      <c r="AC38" s="47"/>
      <c r="AD38" s="103"/>
      <c r="AE38" s="103"/>
      <c r="AF38" s="47"/>
      <c r="AG38" s="47"/>
      <c r="AH38" s="47"/>
      <c r="AI38" s="45"/>
      <c r="AJ38" s="33"/>
    </row>
    <row r="39" spans="2:47" ht="15" customHeight="1">
      <c r="B39" s="17"/>
      <c r="C39" s="40"/>
      <c r="D39" s="47"/>
      <c r="E39" s="394" t="s">
        <v>174</v>
      </c>
      <c r="F39" s="394"/>
      <c r="G39" s="394"/>
      <c r="H39" s="394"/>
      <c r="I39" s="394"/>
      <c r="J39" s="394"/>
      <c r="K39" s="394"/>
      <c r="L39" s="101"/>
      <c r="M39" s="175"/>
      <c r="N39" s="178" t="s">
        <v>175</v>
      </c>
      <c r="O39" s="175"/>
      <c r="P39" s="175"/>
      <c r="Q39" s="175"/>
      <c r="R39" s="175"/>
      <c r="S39" s="175"/>
      <c r="T39" s="175"/>
      <c r="U39" s="175"/>
      <c r="V39" s="435" t="s">
        <v>176</v>
      </c>
      <c r="W39" s="435"/>
      <c r="X39" s="435"/>
      <c r="Y39" s="435"/>
      <c r="Z39" s="435"/>
      <c r="AA39" s="435"/>
      <c r="AB39" s="435"/>
      <c r="AC39" s="435"/>
      <c r="AD39" s="160" t="s">
        <v>175</v>
      </c>
      <c r="AE39" s="103"/>
      <c r="AF39" s="47"/>
      <c r="AG39" s="47"/>
      <c r="AH39" s="47"/>
      <c r="AI39" s="45"/>
    </row>
    <row r="40" spans="2:47" ht="11.25" customHeight="1">
      <c r="B40" s="17"/>
      <c r="C40" s="40"/>
      <c r="D40" s="47"/>
      <c r="E40" s="394"/>
      <c r="F40" s="394"/>
      <c r="G40" s="394"/>
      <c r="H40" s="394"/>
      <c r="I40" s="394"/>
      <c r="J40" s="394"/>
      <c r="K40" s="394"/>
      <c r="L40" s="101"/>
      <c r="M40" s="175"/>
      <c r="N40" s="175"/>
      <c r="O40" s="175"/>
      <c r="P40" s="175"/>
      <c r="Q40" s="175"/>
      <c r="R40" s="175"/>
      <c r="S40" s="175"/>
      <c r="T40" s="175"/>
      <c r="U40" s="175"/>
      <c r="V40" s="175"/>
      <c r="W40" s="175"/>
      <c r="X40" s="175"/>
      <c r="Y40" s="175"/>
      <c r="Z40" s="47"/>
      <c r="AA40" s="47"/>
      <c r="AB40" s="47"/>
      <c r="AC40" s="47"/>
      <c r="AD40" s="103"/>
      <c r="AE40" s="103"/>
      <c r="AF40" s="47"/>
      <c r="AG40" s="47"/>
      <c r="AH40" s="47"/>
      <c r="AI40" s="45"/>
    </row>
    <row r="41" spans="2:47" ht="27.75" customHeight="1">
      <c r="C41" s="44"/>
      <c r="D41" s="101" t="s">
        <v>177</v>
      </c>
      <c r="E41" s="397" t="s">
        <v>178</v>
      </c>
      <c r="F41" s="397"/>
      <c r="G41" s="397"/>
      <c r="H41" s="397"/>
      <c r="I41" s="397"/>
      <c r="J41" s="397"/>
      <c r="K41" s="397"/>
      <c r="L41" s="397"/>
      <c r="M41" s="397"/>
      <c r="N41" s="397"/>
      <c r="O41" s="397"/>
      <c r="P41" s="397"/>
      <c r="Q41" s="397"/>
      <c r="R41" s="179"/>
      <c r="S41" s="47"/>
      <c r="T41" s="101" t="s">
        <v>179</v>
      </c>
      <c r="U41" s="437" t="s">
        <v>180</v>
      </c>
      <c r="V41" s="437"/>
      <c r="W41" s="437"/>
      <c r="X41" s="437"/>
      <c r="Y41" s="437"/>
      <c r="Z41" s="437"/>
      <c r="AA41" s="437"/>
      <c r="AB41" s="437"/>
      <c r="AC41" s="437"/>
      <c r="AD41" s="437"/>
      <c r="AE41" s="437"/>
      <c r="AF41" s="437"/>
      <c r="AG41" s="437"/>
      <c r="AH41" s="437"/>
      <c r="AI41" s="45"/>
    </row>
    <row r="42" spans="2:47" ht="14.45" customHeight="1">
      <c r="C42" s="44"/>
      <c r="D42" s="434" t="s">
        <v>181</v>
      </c>
      <c r="E42" s="434"/>
      <c r="F42" s="434"/>
      <c r="G42" s="434"/>
      <c r="H42" s="434"/>
      <c r="I42" s="434"/>
      <c r="J42" s="434"/>
      <c r="K42" s="434"/>
      <c r="L42" s="434"/>
      <c r="M42" s="434"/>
      <c r="N42" s="434"/>
      <c r="O42" s="434"/>
      <c r="P42" s="434"/>
      <c r="Q42" s="434"/>
      <c r="R42" s="179"/>
      <c r="S42" s="47"/>
      <c r="T42" s="434" t="s">
        <v>182</v>
      </c>
      <c r="U42" s="434"/>
      <c r="V42" s="434"/>
      <c r="W42" s="434"/>
      <c r="X42" s="434"/>
      <c r="Y42" s="434"/>
      <c r="Z42" s="434"/>
      <c r="AA42" s="434"/>
      <c r="AB42" s="434"/>
      <c r="AC42" s="434"/>
      <c r="AD42" s="434"/>
      <c r="AE42" s="434"/>
      <c r="AF42" s="434"/>
      <c r="AG42" s="434"/>
      <c r="AH42" s="434"/>
      <c r="AI42" s="45"/>
    </row>
    <row r="43" spans="2:47" ht="23.25" customHeight="1">
      <c r="C43" s="44"/>
      <c r="D43" s="434"/>
      <c r="E43" s="434"/>
      <c r="F43" s="434"/>
      <c r="G43" s="434"/>
      <c r="H43" s="434"/>
      <c r="I43" s="434"/>
      <c r="J43" s="434"/>
      <c r="K43" s="434"/>
      <c r="L43" s="434"/>
      <c r="M43" s="434"/>
      <c r="N43" s="434"/>
      <c r="O43" s="434"/>
      <c r="P43" s="434"/>
      <c r="Q43" s="434"/>
      <c r="R43" s="179"/>
      <c r="S43" s="47"/>
      <c r="T43" s="434"/>
      <c r="U43" s="434"/>
      <c r="V43" s="434"/>
      <c r="W43" s="434"/>
      <c r="X43" s="434"/>
      <c r="Y43" s="434"/>
      <c r="Z43" s="434"/>
      <c r="AA43" s="434"/>
      <c r="AB43" s="434"/>
      <c r="AC43" s="434"/>
      <c r="AD43" s="434"/>
      <c r="AE43" s="434"/>
      <c r="AF43" s="434"/>
      <c r="AG43" s="434"/>
      <c r="AH43" s="434"/>
      <c r="AI43" s="45"/>
    </row>
    <row r="44" spans="2:47" ht="78.95" customHeight="1">
      <c r="C44" s="44"/>
      <c r="D44" s="434"/>
      <c r="E44" s="434"/>
      <c r="F44" s="434"/>
      <c r="G44" s="434"/>
      <c r="H44" s="434"/>
      <c r="I44" s="434"/>
      <c r="J44" s="434"/>
      <c r="K44" s="434"/>
      <c r="L44" s="434"/>
      <c r="M44" s="434"/>
      <c r="N44" s="434"/>
      <c r="O44" s="434"/>
      <c r="P44" s="434"/>
      <c r="Q44" s="434"/>
      <c r="R44" s="179"/>
      <c r="S44" s="47"/>
      <c r="T44" s="434"/>
      <c r="U44" s="434"/>
      <c r="V44" s="434"/>
      <c r="W44" s="434"/>
      <c r="X44" s="434"/>
      <c r="Y44" s="434"/>
      <c r="Z44" s="434"/>
      <c r="AA44" s="434"/>
      <c r="AB44" s="434"/>
      <c r="AC44" s="434"/>
      <c r="AD44" s="434"/>
      <c r="AE44" s="434"/>
      <c r="AF44" s="434"/>
      <c r="AG44" s="434"/>
      <c r="AH44" s="434"/>
      <c r="AI44" s="45"/>
    </row>
    <row r="45" spans="2:47" ht="2.4500000000000002" customHeight="1">
      <c r="C45" s="44"/>
      <c r="D45" s="168"/>
      <c r="E45" s="168"/>
      <c r="F45" s="168"/>
      <c r="G45" s="168"/>
      <c r="H45" s="168"/>
      <c r="I45" s="168"/>
      <c r="J45" s="168"/>
      <c r="K45" s="168"/>
      <c r="L45" s="168"/>
      <c r="M45" s="168"/>
      <c r="N45" s="168"/>
      <c r="O45" s="168"/>
      <c r="P45" s="168"/>
      <c r="Q45" s="168"/>
      <c r="R45" s="179"/>
      <c r="S45" s="47"/>
      <c r="T45" s="168"/>
      <c r="U45" s="168"/>
      <c r="V45" s="168"/>
      <c r="W45" s="168"/>
      <c r="X45" s="168"/>
      <c r="Y45" s="168"/>
      <c r="Z45" s="168"/>
      <c r="AA45" s="168"/>
      <c r="AB45" s="168"/>
      <c r="AC45" s="168"/>
      <c r="AD45" s="168"/>
      <c r="AE45" s="168"/>
      <c r="AF45" s="168"/>
      <c r="AG45" s="168"/>
      <c r="AH45" s="168"/>
      <c r="AI45" s="45"/>
    </row>
    <row r="46" spans="2:47" ht="12.75" customHeight="1">
      <c r="C46" s="44"/>
      <c r="D46" s="180"/>
      <c r="E46" s="180"/>
      <c r="F46" s="180"/>
      <c r="G46" s="180"/>
      <c r="H46" s="180"/>
      <c r="I46" s="180"/>
      <c r="J46" s="180"/>
      <c r="K46" s="180"/>
      <c r="L46" s="47"/>
      <c r="M46" s="47"/>
      <c r="N46" s="47"/>
      <c r="O46" s="47"/>
      <c r="P46" s="47"/>
      <c r="Q46" s="47"/>
      <c r="R46" s="179"/>
      <c r="S46" s="47"/>
      <c r="T46" s="64"/>
      <c r="U46" s="47"/>
      <c r="V46" s="47"/>
      <c r="W46" s="47"/>
      <c r="X46" s="47"/>
      <c r="Y46" s="47"/>
      <c r="Z46" s="47"/>
      <c r="AA46" s="47"/>
      <c r="AB46" s="47"/>
      <c r="AC46" s="47"/>
      <c r="AD46" s="47"/>
      <c r="AE46" s="47"/>
      <c r="AF46" s="47"/>
      <c r="AG46" s="47"/>
      <c r="AH46" s="47"/>
      <c r="AI46" s="45"/>
    </row>
    <row r="47" spans="2:47" ht="17.25" customHeight="1">
      <c r="C47" s="44"/>
      <c r="D47" s="394" t="s">
        <v>183</v>
      </c>
      <c r="E47" s="394"/>
      <c r="F47" s="394"/>
      <c r="G47" s="394"/>
      <c r="H47" s="394"/>
      <c r="I47" s="394"/>
      <c r="J47" s="394"/>
      <c r="K47" s="103" t="s">
        <v>145</v>
      </c>
      <c r="L47" s="103"/>
      <c r="M47" s="47"/>
      <c r="N47" s="103" t="s">
        <v>146</v>
      </c>
      <c r="O47" s="47"/>
      <c r="P47" s="47"/>
      <c r="Q47" s="47"/>
      <c r="R47" s="179"/>
      <c r="S47" s="47"/>
      <c r="T47" s="394" t="s">
        <v>184</v>
      </c>
      <c r="U47" s="394"/>
      <c r="V47" s="394"/>
      <c r="W47" s="394"/>
      <c r="X47" s="394"/>
      <c r="Y47" s="394"/>
      <c r="Z47" s="394"/>
      <c r="AA47" s="394"/>
      <c r="AB47" s="394"/>
      <c r="AC47" s="394"/>
      <c r="AD47" s="103" t="s">
        <v>145</v>
      </c>
      <c r="AE47" s="47"/>
      <c r="AF47" s="47"/>
      <c r="AG47" s="47" t="s">
        <v>146</v>
      </c>
      <c r="AH47" s="47"/>
      <c r="AI47" s="45"/>
      <c r="AL47" s="20"/>
      <c r="AS47" s="21"/>
      <c r="AU47" s="21"/>
    </row>
    <row r="48" spans="2:47" ht="15.6">
      <c r="C48" s="44"/>
      <c r="D48" s="47"/>
      <c r="E48" s="47"/>
      <c r="F48" s="47"/>
      <c r="G48" s="47"/>
      <c r="H48" s="47"/>
      <c r="I48" s="47"/>
      <c r="J48" s="47"/>
      <c r="K48" s="103"/>
      <c r="L48" s="103"/>
      <c r="M48" s="47"/>
      <c r="N48" s="103"/>
      <c r="O48" s="47"/>
      <c r="P48" s="47"/>
      <c r="Q48" s="47"/>
      <c r="R48" s="179"/>
      <c r="S48" s="47"/>
      <c r="T48" s="64"/>
      <c r="U48" s="47"/>
      <c r="V48" s="47"/>
      <c r="W48" s="47"/>
      <c r="X48" s="47"/>
      <c r="Y48" s="47"/>
      <c r="Z48" s="47"/>
      <c r="AA48" s="47"/>
      <c r="AB48" s="47"/>
      <c r="AC48" s="47"/>
      <c r="AD48" s="47"/>
      <c r="AE48" s="47"/>
      <c r="AF48" s="47"/>
      <c r="AG48" s="47"/>
      <c r="AH48" s="47"/>
      <c r="AI48" s="45"/>
      <c r="AL48" s="20"/>
      <c r="AS48" s="21"/>
      <c r="AU48" s="21"/>
    </row>
    <row r="49" spans="2:50" ht="16.5" customHeight="1">
      <c r="C49" s="44"/>
      <c r="D49" s="394" t="s">
        <v>185</v>
      </c>
      <c r="E49" s="394"/>
      <c r="F49" s="394"/>
      <c r="G49" s="394"/>
      <c r="H49" s="394"/>
      <c r="I49" s="394"/>
      <c r="J49" s="394"/>
      <c r="K49" s="181" t="s">
        <v>186</v>
      </c>
      <c r="L49" s="47"/>
      <c r="M49" s="47"/>
      <c r="N49" s="165"/>
      <c r="O49" s="47"/>
      <c r="P49" s="47"/>
      <c r="Q49" s="47"/>
      <c r="R49" s="179"/>
      <c r="S49" s="47"/>
      <c r="T49" s="394" t="s">
        <v>187</v>
      </c>
      <c r="U49" s="394"/>
      <c r="V49" s="394"/>
      <c r="W49" s="394"/>
      <c r="X49" s="394"/>
      <c r="Y49" s="394"/>
      <c r="Z49" s="394"/>
      <c r="AA49" s="394"/>
      <c r="AB49" s="394"/>
      <c r="AC49" s="47"/>
      <c r="AD49" s="182" t="s">
        <v>188</v>
      </c>
      <c r="AE49" s="103"/>
      <c r="AF49" s="47"/>
      <c r="AG49" s="161"/>
      <c r="AH49" s="47"/>
      <c r="AI49" s="45"/>
      <c r="AL49" s="23"/>
      <c r="AT49" s="25"/>
    </row>
    <row r="50" spans="2:50" ht="17.45" customHeight="1">
      <c r="C50" s="44"/>
      <c r="D50" s="47"/>
      <c r="E50" s="47"/>
      <c r="F50" s="47"/>
      <c r="G50" s="47"/>
      <c r="H50" s="47"/>
      <c r="I50" s="47"/>
      <c r="J50" s="47"/>
      <c r="K50" s="47" t="s">
        <v>189</v>
      </c>
      <c r="L50" s="47" t="str">
        <f>IF(ISNUMBER(L51),"Post 2025 discharge","")</f>
        <v/>
      </c>
      <c r="M50" s="47" t="s">
        <v>190</v>
      </c>
      <c r="N50" s="161"/>
      <c r="O50" s="47"/>
      <c r="P50" s="47"/>
      <c r="Q50" s="47"/>
      <c r="R50" s="179"/>
      <c r="S50" s="47"/>
      <c r="T50" s="394" t="s">
        <v>137</v>
      </c>
      <c r="U50" s="394"/>
      <c r="V50" s="394"/>
      <c r="W50" s="394"/>
      <c r="X50" s="394"/>
      <c r="Y50" s="394"/>
      <c r="Z50" s="394"/>
      <c r="AA50" s="394"/>
      <c r="AB50" s="47"/>
      <c r="AC50" s="47"/>
      <c r="AD50" s="183"/>
      <c r="AE50" s="183"/>
      <c r="AF50" s="184"/>
      <c r="AG50" s="161"/>
      <c r="AH50" s="47"/>
      <c r="AI50" s="45"/>
      <c r="AU50" s="26"/>
    </row>
    <row r="51" spans="2:50" ht="27" customHeight="1">
      <c r="C51" s="44"/>
      <c r="D51" s="394" t="s">
        <v>191</v>
      </c>
      <c r="E51" s="394"/>
      <c r="F51" s="394"/>
      <c r="G51" s="47"/>
      <c r="H51" s="47"/>
      <c r="I51" s="47"/>
      <c r="J51" s="47"/>
      <c r="K51" s="185">
        <f>INDEX(permits,MATCH('Stage 1'!K49,Wastewater,0),3)</f>
        <v>5</v>
      </c>
      <c r="L51" s="183" t="str">
        <f>IF(INDEX(permits,MATCH('Stage 1'!K49,Wastewater,0),5)=K51,"",INDEX(permits,MATCH('Stage 1'!K49,Wastewater,0),5))</f>
        <v/>
      </c>
      <c r="M51" s="302">
        <f>INDEX(permits_2030,MATCH('Stage 1'!K49,Wastewater,0),7)</f>
        <v>5</v>
      </c>
      <c r="N51" s="161" t="s">
        <v>192</v>
      </c>
      <c r="O51" s="47"/>
      <c r="P51" s="159"/>
      <c r="Q51" s="47"/>
      <c r="R51" s="179"/>
      <c r="S51" s="47"/>
      <c r="T51" s="394" t="s">
        <v>193</v>
      </c>
      <c r="U51" s="394"/>
      <c r="V51" s="394"/>
      <c r="W51" s="394"/>
      <c r="X51" s="394"/>
      <c r="Y51" s="47"/>
      <c r="Z51" s="47"/>
      <c r="AA51" s="47"/>
      <c r="AB51" s="47"/>
      <c r="AC51" s="47"/>
      <c r="AD51" s="186" t="str">
        <f>INDEX(Table3[],MATCH('Stage 1'!AD49,OsTWs,0),2)</f>
        <v>Please enter 11.6 mg/l in cell to right:</v>
      </c>
      <c r="AE51" s="334"/>
      <c r="AF51" s="184"/>
      <c r="AG51" s="161" t="s">
        <v>192</v>
      </c>
      <c r="AH51" s="47"/>
      <c r="AI51" s="45"/>
      <c r="AL51" s="24"/>
      <c r="AS51" s="19"/>
      <c r="AU51" s="27"/>
      <c r="AW51" s="28"/>
    </row>
    <row r="52" spans="2:50" ht="30" customHeight="1">
      <c r="C52" s="44"/>
      <c r="D52" s="439" t="str">
        <f>IF(K51=0,"WRC drains outside of the catchment - the development does not need to use the calculator. However, on-site SUDS should still be considered","")</f>
        <v/>
      </c>
      <c r="E52" s="439"/>
      <c r="F52" s="439"/>
      <c r="G52" s="439"/>
      <c r="H52" s="439"/>
      <c r="I52" s="439"/>
      <c r="J52" s="439"/>
      <c r="K52" s="439"/>
      <c r="L52" s="439"/>
      <c r="M52" s="439"/>
      <c r="N52" s="439"/>
      <c r="O52" s="47"/>
      <c r="P52" s="159"/>
      <c r="Q52" s="47"/>
      <c r="R52" s="179"/>
      <c r="S52" s="47"/>
      <c r="T52" s="47"/>
      <c r="U52" s="47"/>
      <c r="V52" s="47"/>
      <c r="W52" s="47"/>
      <c r="X52" s="47"/>
      <c r="Y52" s="47"/>
      <c r="Z52" s="47"/>
      <c r="AA52" s="47"/>
      <c r="AB52" s="47"/>
      <c r="AC52" s="47"/>
      <c r="AD52" s="183"/>
      <c r="AE52" s="183"/>
      <c r="AF52" s="184"/>
      <c r="AG52" s="161"/>
      <c r="AH52" s="64"/>
      <c r="AI52" s="45"/>
      <c r="AL52" s="24"/>
      <c r="AS52" s="19"/>
      <c r="AU52" s="27"/>
      <c r="AW52" s="28"/>
    </row>
    <row r="53" spans="2:50" ht="51.75" customHeight="1">
      <c r="C53" s="44"/>
      <c r="D53" s="434" t="s">
        <v>194</v>
      </c>
      <c r="E53" s="434"/>
      <c r="F53" s="434"/>
      <c r="G53" s="434"/>
      <c r="H53" s="434"/>
      <c r="I53" s="434"/>
      <c r="J53" s="434"/>
      <c r="K53" s="434"/>
      <c r="L53" s="434"/>
      <c r="M53" s="434"/>
      <c r="N53" s="434"/>
      <c r="O53" s="434"/>
      <c r="P53" s="434"/>
      <c r="Q53" s="434"/>
      <c r="R53" s="179"/>
      <c r="S53" s="47"/>
      <c r="T53" s="434" t="s">
        <v>195</v>
      </c>
      <c r="U53" s="434"/>
      <c r="V53" s="434"/>
      <c r="W53" s="434"/>
      <c r="X53" s="434"/>
      <c r="Y53" s="434"/>
      <c r="Z53" s="434"/>
      <c r="AA53" s="434"/>
      <c r="AB53" s="434"/>
      <c r="AC53" s="434"/>
      <c r="AD53" s="434"/>
      <c r="AE53" s="434"/>
      <c r="AF53" s="434"/>
      <c r="AG53" s="434"/>
      <c r="AH53" s="434"/>
      <c r="AI53" s="45"/>
      <c r="AL53" s="438"/>
      <c r="AM53" s="438"/>
      <c r="AN53" s="438"/>
      <c r="AO53" s="438"/>
      <c r="AP53" s="438"/>
      <c r="AQ53" s="438"/>
      <c r="AR53" s="438"/>
      <c r="AS53" s="438"/>
      <c r="AT53" s="438"/>
      <c r="AU53" s="438"/>
      <c r="AV53" s="438"/>
      <c r="AW53" s="438"/>
      <c r="AX53" s="438"/>
    </row>
    <row r="54" spans="2:50" ht="20.45" customHeight="1">
      <c r="C54" s="44"/>
      <c r="D54" s="434"/>
      <c r="E54" s="434"/>
      <c r="F54" s="434"/>
      <c r="G54" s="434"/>
      <c r="H54" s="434"/>
      <c r="I54" s="434"/>
      <c r="J54" s="434"/>
      <c r="K54" s="434"/>
      <c r="L54" s="434"/>
      <c r="M54" s="434"/>
      <c r="N54" s="434"/>
      <c r="O54" s="434"/>
      <c r="P54" s="159"/>
      <c r="Q54" s="159"/>
      <c r="R54" s="179"/>
      <c r="S54" s="47"/>
      <c r="T54" s="159"/>
      <c r="U54" s="159"/>
      <c r="V54" s="159"/>
      <c r="W54" s="159"/>
      <c r="X54" s="159"/>
      <c r="Y54" s="159"/>
      <c r="Z54" s="159"/>
      <c r="AA54" s="159"/>
      <c r="AB54" s="159"/>
      <c r="AC54" s="159"/>
      <c r="AD54" s="159"/>
      <c r="AE54" s="159"/>
      <c r="AF54" s="159"/>
      <c r="AG54" s="159"/>
      <c r="AH54" s="159"/>
      <c r="AI54" s="45"/>
      <c r="AL54" s="30"/>
      <c r="AM54" s="30"/>
      <c r="AN54" s="30"/>
      <c r="AO54" s="30"/>
      <c r="AP54" s="30"/>
      <c r="AQ54" s="30"/>
      <c r="AR54" s="30"/>
      <c r="AS54" s="30"/>
      <c r="AT54" s="30"/>
      <c r="AU54" s="30"/>
      <c r="AV54" s="30"/>
      <c r="AW54" s="30"/>
      <c r="AX54" s="30"/>
    </row>
    <row r="55" spans="2:50" ht="12.75" customHeight="1">
      <c r="C55" s="44"/>
      <c r="D55" s="189"/>
      <c r="E55" s="189"/>
      <c r="F55" s="189"/>
      <c r="G55" s="189"/>
      <c r="H55" s="189"/>
      <c r="I55" s="189"/>
      <c r="J55" s="189"/>
      <c r="K55" s="168"/>
      <c r="L55" s="168"/>
      <c r="M55" s="189"/>
      <c r="N55" s="189"/>
      <c r="O55" s="189"/>
      <c r="P55" s="189"/>
      <c r="Q55" s="189"/>
      <c r="R55" s="179"/>
      <c r="S55" s="47"/>
      <c r="T55" s="168"/>
      <c r="U55" s="168"/>
      <c r="V55" s="168"/>
      <c r="W55" s="168"/>
      <c r="X55" s="168"/>
      <c r="Y55" s="168"/>
      <c r="Z55" s="168"/>
      <c r="AA55" s="168"/>
      <c r="AB55" s="168"/>
      <c r="AC55" s="168"/>
      <c r="AD55" s="168"/>
      <c r="AE55" s="168"/>
      <c r="AF55" s="168"/>
      <c r="AG55" s="168"/>
      <c r="AH55" s="168"/>
      <c r="AI55" s="45"/>
      <c r="AL55" s="30"/>
      <c r="AM55" s="30"/>
      <c r="AN55" s="30"/>
      <c r="AO55" s="30"/>
      <c r="AP55" s="30"/>
      <c r="AQ55" s="30"/>
      <c r="AR55" s="30"/>
      <c r="AS55" s="30"/>
      <c r="AT55" s="30"/>
      <c r="AU55" s="30"/>
      <c r="AV55" s="30"/>
      <c r="AW55" s="30"/>
      <c r="AX55" s="30"/>
    </row>
    <row r="56" spans="2:50" ht="15.6">
      <c r="C56" s="44"/>
      <c r="D56" s="47"/>
      <c r="E56" s="47"/>
      <c r="F56" s="47"/>
      <c r="G56" s="47"/>
      <c r="H56" s="47"/>
      <c r="I56" s="47"/>
      <c r="J56" s="47"/>
      <c r="K56" s="47"/>
      <c r="L56" s="47"/>
      <c r="M56" s="47"/>
      <c r="N56" s="47"/>
      <c r="O56" s="47"/>
      <c r="P56" s="47"/>
      <c r="Q56" s="47"/>
      <c r="R56" s="179"/>
      <c r="S56" s="47"/>
      <c r="T56" s="47"/>
      <c r="U56" s="47"/>
      <c r="V56" s="47"/>
      <c r="W56" s="47"/>
      <c r="X56" s="47"/>
      <c r="Y56" s="47"/>
      <c r="Z56" s="47"/>
      <c r="AA56" s="47"/>
      <c r="AB56" s="47"/>
      <c r="AC56" s="47"/>
      <c r="AD56" s="47"/>
      <c r="AE56" s="47"/>
      <c r="AF56" s="47"/>
      <c r="AG56" s="47"/>
      <c r="AH56" s="47"/>
      <c r="AI56" s="45"/>
    </row>
    <row r="57" spans="2:50" ht="15.6">
      <c r="C57" s="44"/>
      <c r="D57" s="394" t="s">
        <v>196</v>
      </c>
      <c r="E57" s="394"/>
      <c r="F57" s="394"/>
      <c r="G57" s="394"/>
      <c r="H57" s="394"/>
      <c r="I57" s="394"/>
      <c r="J57" s="394"/>
      <c r="K57" s="103" t="s">
        <v>145</v>
      </c>
      <c r="L57" s="103"/>
      <c r="M57" s="64"/>
      <c r="N57" s="103" t="s">
        <v>146</v>
      </c>
      <c r="O57" s="47"/>
      <c r="P57" s="47"/>
      <c r="Q57" s="47"/>
      <c r="R57" s="179"/>
      <c r="S57" s="47"/>
      <c r="T57" s="394" t="s">
        <v>197</v>
      </c>
      <c r="U57" s="394"/>
      <c r="V57" s="394"/>
      <c r="W57" s="394"/>
      <c r="X57" s="394"/>
      <c r="Y57" s="394"/>
      <c r="Z57" s="394"/>
      <c r="AA57" s="394"/>
      <c r="AB57" s="394"/>
      <c r="AC57" s="394"/>
      <c r="AD57" s="103" t="s">
        <v>145</v>
      </c>
      <c r="AE57" s="47"/>
      <c r="AF57" s="47"/>
      <c r="AG57" s="47" t="s">
        <v>146</v>
      </c>
      <c r="AH57" s="47"/>
      <c r="AI57" s="45"/>
      <c r="AL57" s="20"/>
      <c r="AS57" s="21"/>
      <c r="AU57" s="21"/>
    </row>
    <row r="58" spans="2:50" ht="15.6">
      <c r="C58" s="44"/>
      <c r="D58" s="47"/>
      <c r="E58" s="47"/>
      <c r="F58" s="47"/>
      <c r="G58" s="47"/>
      <c r="H58" s="47"/>
      <c r="I58" s="47"/>
      <c r="J58" s="47"/>
      <c r="K58" s="47" t="s">
        <v>189</v>
      </c>
      <c r="L58" s="47" t="str">
        <f>IF(ISNUMBER(L59),"Post 2025 discharge","")</f>
        <v/>
      </c>
      <c r="M58" s="47" t="s">
        <v>190</v>
      </c>
      <c r="N58" s="103"/>
      <c r="O58" s="47"/>
      <c r="P58" s="47"/>
      <c r="Q58" s="47"/>
      <c r="R58" s="179"/>
      <c r="S58" s="47"/>
      <c r="T58" s="47"/>
      <c r="U58" s="47"/>
      <c r="V58" s="47"/>
      <c r="W58" s="47"/>
      <c r="X58" s="47"/>
      <c r="Y58" s="47"/>
      <c r="Z58" s="47"/>
      <c r="AA58" s="47"/>
      <c r="AB58" s="47"/>
      <c r="AC58" s="47"/>
      <c r="AD58" s="47"/>
      <c r="AE58" s="47"/>
      <c r="AF58" s="47"/>
      <c r="AG58" s="47"/>
      <c r="AH58" s="47"/>
      <c r="AI58" s="45"/>
      <c r="AL58" s="31"/>
      <c r="AS58" s="21"/>
      <c r="AU58" s="21"/>
    </row>
    <row r="59" spans="2:50" ht="15.6">
      <c r="B59" s="17"/>
      <c r="C59" s="44"/>
      <c r="D59" s="394" t="s">
        <v>198</v>
      </c>
      <c r="E59" s="394"/>
      <c r="F59" s="394"/>
      <c r="G59" s="47"/>
      <c r="H59" s="47"/>
      <c r="I59" s="47"/>
      <c r="J59" s="47"/>
      <c r="K59" s="187">
        <f>IF(N39="Yes",((K51*V34)/1000000)*365.25,0)</f>
        <v>0</v>
      </c>
      <c r="L59" s="183" t="str">
        <f>IF(ISNUMBER(L51),IF(N39="Yes",((L51*V34)/1000000)*365.25,0),"")</f>
        <v/>
      </c>
      <c r="M59" s="302">
        <f>IF(N39="Yes",((M51*V34)/1000000)*365.25,0)</f>
        <v>0</v>
      </c>
      <c r="N59" s="165" t="s">
        <v>199</v>
      </c>
      <c r="O59" s="47"/>
      <c r="P59" s="47"/>
      <c r="Q59" s="47"/>
      <c r="R59" s="179"/>
      <c r="S59" s="47"/>
      <c r="T59" s="394" t="s">
        <v>200</v>
      </c>
      <c r="U59" s="394"/>
      <c r="V59" s="394"/>
      <c r="W59" s="394"/>
      <c r="X59" s="394"/>
      <c r="Y59" s="394"/>
      <c r="Z59" s="394"/>
      <c r="AA59" s="394"/>
      <c r="AB59" s="47"/>
      <c r="AC59" s="47"/>
      <c r="AD59" s="187">
        <f>IF(AD39="Yes",((IF(AE51&gt;0,AE51*V34,AD51*V34))/1000000)*365.25,0)</f>
        <v>0</v>
      </c>
      <c r="AE59" s="188"/>
      <c r="AF59" s="47"/>
      <c r="AG59" s="161" t="s">
        <v>199</v>
      </c>
      <c r="AH59" s="47"/>
      <c r="AI59" s="45"/>
      <c r="AL59" s="23"/>
      <c r="AS59" s="15"/>
      <c r="AU59" s="29"/>
    </row>
    <row r="60" spans="2:50" ht="17.25" customHeight="1">
      <c r="B60" s="17"/>
      <c r="C60" s="40"/>
      <c r="D60" s="47"/>
      <c r="E60" s="47"/>
      <c r="F60" s="47"/>
      <c r="G60" s="47"/>
      <c r="H60" s="47"/>
      <c r="I60" s="47"/>
      <c r="J60" s="47"/>
      <c r="K60" s="47"/>
      <c r="L60" s="47"/>
      <c r="M60" s="47"/>
      <c r="N60" s="161"/>
      <c r="O60" s="47"/>
      <c r="P60" s="47"/>
      <c r="Q60" s="47"/>
      <c r="R60" s="179"/>
      <c r="S60" s="47"/>
      <c r="T60" s="47"/>
      <c r="U60" s="47"/>
      <c r="V60" s="47"/>
      <c r="W60" s="47"/>
      <c r="X60" s="47"/>
      <c r="Y60" s="47"/>
      <c r="Z60" s="47"/>
      <c r="AA60" s="47"/>
      <c r="AB60" s="47"/>
      <c r="AC60" s="47"/>
      <c r="AD60" s="47"/>
      <c r="AE60" s="47"/>
      <c r="AF60" s="47"/>
      <c r="AG60" s="47"/>
      <c r="AH60" s="47"/>
      <c r="AI60" s="45"/>
      <c r="AU60" s="22"/>
    </row>
    <row r="61" spans="2:50" ht="15.95" thickBot="1">
      <c r="B61" s="17"/>
      <c r="C61" s="48"/>
      <c r="D61" s="190"/>
      <c r="E61" s="190"/>
      <c r="F61" s="190"/>
      <c r="G61" s="190"/>
      <c r="H61" s="149"/>
      <c r="I61" s="149"/>
      <c r="J61" s="149"/>
      <c r="K61" s="149"/>
      <c r="L61" s="149"/>
      <c r="M61" s="149"/>
      <c r="N61" s="149"/>
      <c r="O61" s="149"/>
      <c r="P61" s="149"/>
      <c r="Q61" s="149"/>
      <c r="R61" s="149"/>
      <c r="S61" s="149"/>
      <c r="T61" s="149"/>
      <c r="U61" s="149"/>
      <c r="V61" s="149"/>
      <c r="W61" s="149"/>
      <c r="X61" s="149"/>
      <c r="Y61" s="149"/>
      <c r="Z61" s="149"/>
      <c r="AA61" s="190"/>
      <c r="AB61" s="190"/>
      <c r="AC61" s="190"/>
      <c r="AD61" s="190"/>
      <c r="AE61" s="190"/>
      <c r="AF61" s="190"/>
      <c r="AG61" s="190"/>
      <c r="AH61" s="190"/>
      <c r="AI61" s="50"/>
    </row>
    <row r="62" spans="2:50" ht="15.6">
      <c r="C62" s="38"/>
      <c r="D62" s="151"/>
      <c r="E62" s="151"/>
      <c r="F62" s="151"/>
      <c r="G62" s="151"/>
      <c r="H62" s="155"/>
      <c r="I62" s="191"/>
      <c r="J62" s="191"/>
      <c r="K62" s="191"/>
      <c r="L62" s="191"/>
      <c r="M62" s="191"/>
      <c r="N62" s="191"/>
      <c r="O62" s="191"/>
      <c r="P62" s="191"/>
      <c r="Q62" s="191"/>
      <c r="R62" s="191"/>
      <c r="S62" s="191"/>
      <c r="T62" s="191"/>
      <c r="U62" s="191"/>
      <c r="V62" s="191"/>
      <c r="W62" s="191"/>
      <c r="X62" s="191"/>
      <c r="Y62" s="149"/>
      <c r="Z62" s="157"/>
      <c r="AA62" s="151"/>
      <c r="AB62" s="151"/>
      <c r="AC62" s="151"/>
      <c r="AD62" s="151"/>
      <c r="AE62" s="151"/>
      <c r="AF62" s="151"/>
      <c r="AG62" s="151"/>
      <c r="AH62" s="151"/>
      <c r="AI62" s="38"/>
    </row>
    <row r="63" spans="2:50" ht="15.6">
      <c r="C63" s="38"/>
      <c r="D63" s="151"/>
      <c r="E63" s="151"/>
      <c r="F63" s="151"/>
      <c r="G63" s="151"/>
      <c r="H63" s="155"/>
      <c r="I63" s="149"/>
      <c r="J63" s="46" t="s">
        <v>201</v>
      </c>
      <c r="K63" s="394" t="s">
        <v>202</v>
      </c>
      <c r="L63" s="394"/>
      <c r="M63" s="394"/>
      <c r="N63" s="394"/>
      <c r="O63" s="47"/>
      <c r="P63" s="47"/>
      <c r="Q63" s="47"/>
      <c r="R63" s="47"/>
      <c r="S63" s="47"/>
      <c r="T63" s="47"/>
      <c r="U63" s="103" t="s">
        <v>145</v>
      </c>
      <c r="V63" s="47" t="str">
        <f>IF(ISNUMBER(L50),"Value","")</f>
        <v/>
      </c>
      <c r="W63" s="47"/>
      <c r="X63" s="103" t="s">
        <v>146</v>
      </c>
      <c r="Y63" s="149"/>
      <c r="Z63" s="157"/>
      <c r="AA63" s="151"/>
      <c r="AB63" s="151"/>
      <c r="AC63" s="151"/>
      <c r="AD63" s="151"/>
      <c r="AE63" s="151"/>
      <c r="AF63" s="151"/>
      <c r="AG63" s="151"/>
      <c r="AH63" s="151"/>
      <c r="AI63" s="38"/>
    </row>
    <row r="64" spans="2:50" ht="15.6">
      <c r="C64" s="38"/>
      <c r="D64" s="151"/>
      <c r="E64" s="151"/>
      <c r="F64" s="151"/>
      <c r="G64" s="151"/>
      <c r="H64" s="155"/>
      <c r="I64" s="149"/>
      <c r="J64" s="47"/>
      <c r="K64" s="47"/>
      <c r="L64" s="47"/>
      <c r="M64" s="47"/>
      <c r="N64" s="47"/>
      <c r="O64" s="47"/>
      <c r="P64" s="47"/>
      <c r="Q64" s="47"/>
      <c r="R64" s="47"/>
      <c r="S64" s="47"/>
      <c r="T64" s="47"/>
      <c r="U64" s="47" t="s">
        <v>203</v>
      </c>
      <c r="V64" s="47" t="str">
        <f>IF(ISNUMBER(L51),"Post 2025","")</f>
        <v/>
      </c>
      <c r="W64" s="47" t="s">
        <v>204</v>
      </c>
      <c r="X64" s="47"/>
      <c r="Y64" s="149"/>
      <c r="Z64" s="157"/>
      <c r="AA64" s="151"/>
      <c r="AB64" s="151"/>
      <c r="AC64" s="151"/>
      <c r="AD64" s="151"/>
      <c r="AE64" s="151"/>
      <c r="AF64" s="151"/>
      <c r="AG64" s="151"/>
      <c r="AH64" s="151"/>
      <c r="AI64" s="38"/>
    </row>
    <row r="65" spans="3:35" ht="15.6">
      <c r="C65" s="38"/>
      <c r="D65" s="151"/>
      <c r="E65" s="151"/>
      <c r="F65" s="151"/>
      <c r="G65" s="151"/>
      <c r="H65" s="155"/>
      <c r="I65" s="149"/>
      <c r="J65" s="47"/>
      <c r="K65" s="393" t="s">
        <v>205</v>
      </c>
      <c r="L65" s="393"/>
      <c r="M65" s="393"/>
      <c r="N65" s="393"/>
      <c r="O65" s="393"/>
      <c r="P65" s="37"/>
      <c r="Q65" s="37"/>
      <c r="R65" s="37"/>
      <c r="S65" s="37"/>
      <c r="T65" s="37"/>
      <c r="U65" s="192">
        <f>(K59+AD59)</f>
        <v>0</v>
      </c>
      <c r="V65" s="188" t="str">
        <f>IF(ISNUMBER(L51),L59+AD59,"")</f>
        <v/>
      </c>
      <c r="W65" s="303">
        <f>(M59+AD59)</f>
        <v>0</v>
      </c>
      <c r="X65" s="167" t="s">
        <v>206</v>
      </c>
      <c r="Y65" s="149"/>
      <c r="Z65" s="157"/>
      <c r="AA65" s="151"/>
      <c r="AB65" s="151"/>
      <c r="AC65" s="151"/>
      <c r="AD65" s="151"/>
      <c r="AE65" s="151"/>
      <c r="AF65" s="151"/>
      <c r="AG65" s="151"/>
      <c r="AH65" s="151"/>
      <c r="AI65" s="38"/>
    </row>
    <row r="66" spans="3:35" ht="15.95" thickBot="1">
      <c r="C66" s="38"/>
      <c r="D66" s="151"/>
      <c r="E66" s="151"/>
      <c r="F66" s="151"/>
      <c r="G66" s="151"/>
      <c r="H66" s="193"/>
      <c r="I66" s="190"/>
      <c r="J66" s="190"/>
      <c r="K66" s="190"/>
      <c r="L66" s="190"/>
      <c r="M66" s="190"/>
      <c r="N66" s="190"/>
      <c r="O66" s="190"/>
      <c r="P66" s="190"/>
      <c r="Q66" s="190"/>
      <c r="R66" s="190"/>
      <c r="S66" s="190"/>
      <c r="T66" s="190"/>
      <c r="U66" s="190"/>
      <c r="V66" s="190"/>
      <c r="W66" s="190"/>
      <c r="X66" s="190"/>
      <c r="Y66" s="190"/>
      <c r="Z66" s="194"/>
      <c r="AA66" s="151"/>
      <c r="AB66" s="151"/>
      <c r="AC66" s="151"/>
      <c r="AD66" s="151"/>
      <c r="AE66" s="151"/>
      <c r="AF66" s="151"/>
      <c r="AG66" s="151"/>
      <c r="AH66" s="151"/>
      <c r="AI66" s="38"/>
    </row>
    <row r="67" spans="3:35" ht="15.6">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row>
    <row r="68" spans="3:35" ht="15.6">
      <c r="D68" s="20"/>
      <c r="E68" s="20"/>
      <c r="F68" s="20"/>
      <c r="G68" s="20"/>
      <c r="H68" s="20"/>
      <c r="I68" s="20"/>
      <c r="J68" s="20"/>
      <c r="K68" s="20"/>
      <c r="L68" s="20"/>
      <c r="M68" s="20"/>
      <c r="N68" s="20"/>
      <c r="O68" s="20"/>
      <c r="P68" s="20"/>
      <c r="Q68" s="20"/>
      <c r="R68" s="20"/>
      <c r="S68" s="20"/>
      <c r="T68" s="20"/>
      <c r="U68" s="20"/>
      <c r="V68" s="339"/>
      <c r="W68" s="20"/>
      <c r="X68" s="20"/>
      <c r="Y68" s="20"/>
      <c r="Z68" s="20"/>
      <c r="AA68" s="20"/>
      <c r="AB68" s="20"/>
      <c r="AC68" s="20"/>
      <c r="AD68" s="20"/>
      <c r="AE68" s="20"/>
      <c r="AF68" s="20"/>
      <c r="AG68" s="20"/>
      <c r="AH68" s="20"/>
    </row>
  </sheetData>
  <sheetProtection algorithmName="SHA-512" hashValue="59K7MmKMApFgaiUgFbWw9PupnmR3QMYdnw/pd7d5eD+f0dAhjB767K28IAhHCq+EpNxCsRmGq5gEQPZFUm3vmA==" saltValue="zTjQdQT3ZU6W4HkfWHkm9w==" spinCount="100000" sheet="1" selectLockedCells="1"/>
  <mergeCells count="47">
    <mergeCell ref="D59:F59"/>
    <mergeCell ref="K63:N63"/>
    <mergeCell ref="K65:O65"/>
    <mergeCell ref="K11:U11"/>
    <mergeCell ref="D57:J57"/>
    <mergeCell ref="T47:AC47"/>
    <mergeCell ref="T49:AB49"/>
    <mergeCell ref="D51:F51"/>
    <mergeCell ref="T50:AA50"/>
    <mergeCell ref="T57:AC57"/>
    <mergeCell ref="D47:J47"/>
    <mergeCell ref="D49:J49"/>
    <mergeCell ref="K30:N30"/>
    <mergeCell ref="K32:N32"/>
    <mergeCell ref="K14:U14"/>
    <mergeCell ref="D42:Q44"/>
    <mergeCell ref="T59:AA59"/>
    <mergeCell ref="AL53:AX53"/>
    <mergeCell ref="D52:N52"/>
    <mergeCell ref="K3:X3"/>
    <mergeCell ref="I4:X6"/>
    <mergeCell ref="I35:X35"/>
    <mergeCell ref="I3:J3"/>
    <mergeCell ref="I37:X37"/>
    <mergeCell ref="K8:U8"/>
    <mergeCell ref="K15:U15"/>
    <mergeCell ref="K17:U17"/>
    <mergeCell ref="K23:U23"/>
    <mergeCell ref="K12:N12"/>
    <mergeCell ref="K24:U24"/>
    <mergeCell ref="K25:U25"/>
    <mergeCell ref="T42:AH44"/>
    <mergeCell ref="K22:U22"/>
    <mergeCell ref="K18:U18"/>
    <mergeCell ref="K19:U19"/>
    <mergeCell ref="K20:U20"/>
    <mergeCell ref="D54:O54"/>
    <mergeCell ref="D53:Q53"/>
    <mergeCell ref="T53:AH53"/>
    <mergeCell ref="K27:U27"/>
    <mergeCell ref="V39:AC39"/>
    <mergeCell ref="E39:K40"/>
    <mergeCell ref="K34:R34"/>
    <mergeCell ref="X32:Y32"/>
    <mergeCell ref="U41:AH41"/>
    <mergeCell ref="E41:Q41"/>
    <mergeCell ref="T51:X51"/>
  </mergeCells>
  <conditionalFormatting sqref="L51">
    <cfRule type="expression" dxfId="55" priority="4">
      <formula>AND($L$51&lt;K51)</formula>
    </cfRule>
  </conditionalFormatting>
  <conditionalFormatting sqref="L59">
    <cfRule type="expression" dxfId="54" priority="3">
      <formula>AND($L$51&lt;K51)</formula>
    </cfRule>
  </conditionalFormatting>
  <conditionalFormatting sqref="N39 AD39">
    <cfRule type="expression" dxfId="53" priority="1">
      <formula>OR(AND($N$39="No",$AD$39="No"),AND($N$39="Yes",$AD$39="Yes"))</formula>
    </cfRule>
  </conditionalFormatting>
  <conditionalFormatting sqref="V65">
    <cfRule type="expression" dxfId="52" priority="2">
      <formula>AND($L$51&lt;K51)</formula>
    </cfRule>
  </conditionalFormatting>
  <dataValidations count="3">
    <dataValidation type="list" allowBlank="1" showInputMessage="1" showErrorMessage="1" sqref="K49" xr:uid="{09BC1716-7948-4F98-8E3A-277F4E17751E}">
      <formula1>Wastewater</formula1>
    </dataValidation>
    <dataValidation type="list" allowBlank="1" showInputMessage="1" showErrorMessage="1" sqref="AD39 N39" xr:uid="{0E5A7B37-1AF1-47CC-AA54-9FF5CAEB322F}">
      <formula1>"Yes, No"</formula1>
    </dataValidation>
    <dataValidation type="list" allowBlank="1" showInputMessage="1" showErrorMessage="1" sqref="AD49" xr:uid="{8F47862D-8150-4E03-A11F-32470ADB32A1}">
      <formula1>OsTWs</formula1>
    </dataValidation>
  </dataValidations>
  <pageMargins left="0.70866141732283472" right="0.70866141732283472" top="0.74803149606299213" bottom="0.74803149606299213" header="0.31496062992125984" footer="0.31496062992125984"/>
  <pageSetup paperSize="9" scale="40" orientation="landscape" horizontalDpi="360" verticalDpi="360" r:id="rId1"/>
  <headerFooter>
    <oddHeader>&amp;LPhosphate Budget Calculator&amp;CStage 1</oddHeader>
    <oddFooter>&amp;LVersion 3&amp;R&amp;D</oddFooter>
  </headerFooter>
  <customProperties>
    <customPr name="SSC_SHEET_GUID" r:id="rId2"/>
  </customProperties>
  <ignoredErrors>
    <ignoredError sqref="V34" unlockedFormula="1"/>
  </ignoredErrors>
  <webPublishItems count="1">
    <webPublishItem id="22879" divId="Norfolk budget Calc_V1.0_22879" sourceType="sheet" destinationFile="C:\Users\305327\Documents\Environmental Services proposals\Norfolk Nutrients Opportunity\Calculator\Norfolk budget Calc_V1.0 Items.htm" title="Norfolk Nutrient Calculator - items"/>
  </webPublishItem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BEF00-914D-4ADC-8F23-A385C2D4A9E5}">
  <sheetPr codeName="Sheet4">
    <tabColor rgb="FFD6F4FE"/>
    <pageSetUpPr fitToPage="1"/>
  </sheetPr>
  <dimension ref="A1:BC50"/>
  <sheetViews>
    <sheetView zoomScale="85" zoomScaleNormal="85" zoomScalePageLayoutView="70" workbookViewId="0">
      <selection activeCell="K22" sqref="K22"/>
    </sheetView>
  </sheetViews>
  <sheetFormatPr defaultColWidth="0" defaultRowHeight="12.6"/>
  <cols>
    <col min="1" max="1" width="9.140625" customWidth="1"/>
    <col min="2" max="3" width="0.85546875" customWidth="1"/>
    <col min="4" max="4" width="2.28515625" customWidth="1"/>
    <col min="5" max="8" width="9.140625" customWidth="1"/>
    <col min="9" max="9" width="12.28515625" customWidth="1"/>
    <col min="10" max="10" width="8.42578125" customWidth="1"/>
    <col min="11" max="11" width="19.5703125" customWidth="1"/>
    <col min="12" max="12" width="10.7109375" customWidth="1"/>
    <col min="13" max="13" width="3" customWidth="1"/>
    <col min="14" max="14" width="1.85546875" customWidth="1"/>
    <col min="15" max="17" width="46.28515625" customWidth="1"/>
    <col min="18" max="18" width="1.7109375" customWidth="1"/>
    <col min="19" max="19" width="6.140625" customWidth="1"/>
    <col min="20" max="20" width="0.85546875" customWidth="1"/>
    <col min="21" max="21" width="9.140625" customWidth="1"/>
    <col min="22" max="22" width="13.85546875" hidden="1" customWidth="1"/>
    <col min="23" max="23" width="12.5703125" hidden="1" customWidth="1"/>
    <col min="24" max="24" width="14" hidden="1" customWidth="1"/>
    <col min="25" max="26" width="10.42578125" hidden="1" customWidth="1"/>
    <col min="27" max="27" width="9.140625" hidden="1" customWidth="1"/>
    <col min="28" max="28" width="11.140625" hidden="1" customWidth="1"/>
    <col min="29" max="29" width="12.140625" hidden="1" customWidth="1"/>
    <col min="30" max="16384" width="9.140625" hidden="1"/>
  </cols>
  <sheetData>
    <row r="1" spans="1:20" ht="13.5" thickBot="1">
      <c r="A1" s="38" t="s">
        <v>21</v>
      </c>
    </row>
    <row r="2" spans="1:20" ht="3.75" customHeight="1">
      <c r="B2" s="1"/>
      <c r="C2" s="2"/>
      <c r="D2" s="2"/>
      <c r="E2" s="2"/>
      <c r="F2" s="2"/>
      <c r="G2" s="2"/>
      <c r="H2" s="2"/>
      <c r="I2" s="2"/>
      <c r="J2" s="2"/>
      <c r="K2" s="2"/>
      <c r="L2" s="2"/>
      <c r="M2" s="2"/>
      <c r="N2" s="2"/>
      <c r="O2" s="2"/>
      <c r="P2" s="2"/>
      <c r="Q2" s="2"/>
      <c r="R2" s="2"/>
      <c r="S2" s="2"/>
      <c r="T2" s="3"/>
    </row>
    <row r="3" spans="1:20" ht="28.5" customHeight="1">
      <c r="B3" s="4"/>
      <c r="C3" s="38"/>
      <c r="D3" s="195"/>
      <c r="E3" s="119" t="s">
        <v>21</v>
      </c>
      <c r="F3" s="440" t="s">
        <v>207</v>
      </c>
      <c r="G3" s="440"/>
      <c r="H3" s="440"/>
      <c r="I3" s="440"/>
      <c r="J3" s="440"/>
      <c r="K3" s="440"/>
      <c r="L3" s="440"/>
      <c r="M3" s="440"/>
      <c r="N3" s="156"/>
      <c r="O3" s="156"/>
      <c r="P3" s="156"/>
      <c r="Q3" s="156"/>
      <c r="R3" s="156"/>
      <c r="S3" s="156"/>
      <c r="T3" s="6"/>
    </row>
    <row r="4" spans="1:20" ht="1.5" customHeight="1">
      <c r="B4" s="4"/>
      <c r="C4" s="52"/>
      <c r="D4" s="196"/>
      <c r="E4" s="434" t="s">
        <v>208</v>
      </c>
      <c r="F4" s="434"/>
      <c r="G4" s="434"/>
      <c r="H4" s="434"/>
      <c r="I4" s="434"/>
      <c r="J4" s="434"/>
      <c r="K4" s="434"/>
      <c r="L4" s="434"/>
      <c r="M4" s="434"/>
      <c r="N4" s="434"/>
      <c r="O4" s="434"/>
      <c r="P4" s="434"/>
      <c r="Q4" s="434"/>
      <c r="R4" s="434"/>
      <c r="S4" s="434"/>
      <c r="T4" s="6"/>
    </row>
    <row r="5" spans="1:20" ht="15.6">
      <c r="B5" s="4"/>
      <c r="C5" s="52"/>
      <c r="D5" s="196"/>
      <c r="E5" s="434"/>
      <c r="F5" s="434"/>
      <c r="G5" s="434"/>
      <c r="H5" s="434"/>
      <c r="I5" s="434"/>
      <c r="J5" s="434"/>
      <c r="K5" s="434"/>
      <c r="L5" s="434"/>
      <c r="M5" s="434"/>
      <c r="N5" s="434"/>
      <c r="O5" s="434"/>
      <c r="P5" s="434"/>
      <c r="Q5" s="434"/>
      <c r="R5" s="434"/>
      <c r="S5" s="434"/>
      <c r="T5" s="6"/>
    </row>
    <row r="6" spans="1:20" ht="23.45" customHeight="1">
      <c r="B6" s="4"/>
      <c r="C6" s="40"/>
      <c r="D6" s="149"/>
      <c r="E6" s="441"/>
      <c r="F6" s="441"/>
      <c r="G6" s="441"/>
      <c r="H6" s="441"/>
      <c r="I6" s="441"/>
      <c r="J6" s="441"/>
      <c r="K6" s="441"/>
      <c r="L6" s="441"/>
      <c r="M6" s="441"/>
      <c r="N6" s="441"/>
      <c r="O6" s="441"/>
      <c r="P6" s="441"/>
      <c r="Q6" s="441"/>
      <c r="R6" s="441"/>
      <c r="S6" s="441"/>
      <c r="T6" s="6"/>
    </row>
    <row r="7" spans="1:20" ht="3.95" customHeight="1">
      <c r="B7" s="4"/>
      <c r="C7" s="40"/>
      <c r="D7" s="191"/>
      <c r="E7" s="197"/>
      <c r="F7" s="197"/>
      <c r="G7" s="197"/>
      <c r="H7" s="197"/>
      <c r="I7" s="197"/>
      <c r="J7" s="197"/>
      <c r="K7" s="197"/>
      <c r="L7" s="197"/>
      <c r="M7" s="197"/>
      <c r="N7" s="159"/>
      <c r="O7" s="159"/>
      <c r="P7" s="159"/>
      <c r="Q7" s="159"/>
      <c r="R7" s="159"/>
      <c r="S7" s="159"/>
      <c r="T7" s="6"/>
    </row>
    <row r="8" spans="1:20" ht="15.6">
      <c r="B8" s="4"/>
      <c r="C8" s="40"/>
      <c r="D8" s="149"/>
      <c r="E8" s="46" t="s">
        <v>143</v>
      </c>
      <c r="F8" s="394" t="s">
        <v>209</v>
      </c>
      <c r="G8" s="394"/>
      <c r="H8" s="394"/>
      <c r="I8" s="394"/>
      <c r="J8" s="394"/>
      <c r="K8" s="103" t="s">
        <v>145</v>
      </c>
      <c r="L8" s="103" t="s">
        <v>146</v>
      </c>
      <c r="M8" s="47"/>
      <c r="N8" s="47"/>
      <c r="O8" s="47"/>
      <c r="P8" s="47"/>
      <c r="Q8" s="47"/>
      <c r="R8" s="47"/>
      <c r="S8" s="47"/>
      <c r="T8" s="6"/>
    </row>
    <row r="9" spans="1:20" ht="9.75" customHeight="1">
      <c r="B9" s="4"/>
      <c r="C9" s="40"/>
      <c r="D9" s="149"/>
      <c r="E9" s="46"/>
      <c r="F9" s="101"/>
      <c r="G9" s="101"/>
      <c r="H9" s="101"/>
      <c r="I9" s="101"/>
      <c r="J9" s="101"/>
      <c r="K9" s="103"/>
      <c r="L9" s="103"/>
      <c r="M9" s="47"/>
      <c r="N9" s="47"/>
      <c r="O9" s="47"/>
      <c r="P9" s="47"/>
      <c r="Q9" s="47"/>
      <c r="R9" s="47"/>
      <c r="S9" s="47"/>
      <c r="T9" s="6"/>
    </row>
    <row r="10" spans="1:20" ht="32.450000000000003" customHeight="1">
      <c r="B10" s="4"/>
      <c r="C10" s="40"/>
      <c r="D10" s="443" t="s">
        <v>210</v>
      </c>
      <c r="E10" s="443"/>
      <c r="F10" s="443"/>
      <c r="G10" s="443"/>
      <c r="H10" s="443"/>
      <c r="I10" s="443"/>
      <c r="J10" s="443"/>
      <c r="K10" s="443"/>
      <c r="L10" s="443"/>
      <c r="M10" s="443"/>
      <c r="N10" s="443"/>
      <c r="O10" s="443"/>
      <c r="P10" s="443"/>
      <c r="Q10" s="443"/>
      <c r="R10" s="443"/>
      <c r="S10" s="443"/>
      <c r="T10" s="6"/>
    </row>
    <row r="11" spans="1:20" ht="9.75" customHeight="1">
      <c r="B11" s="4"/>
      <c r="C11" s="40"/>
      <c r="D11" s="149"/>
      <c r="E11" s="46"/>
      <c r="F11" s="101"/>
      <c r="G11" s="101"/>
      <c r="H11" s="101"/>
      <c r="I11" s="101"/>
      <c r="J11" s="101"/>
      <c r="K11" s="103"/>
      <c r="L11" s="103"/>
      <c r="M11" s="47"/>
      <c r="N11" s="47"/>
      <c r="O11" s="47"/>
      <c r="P11" s="47"/>
      <c r="Q11" s="47"/>
      <c r="R11" s="47"/>
      <c r="S11" s="47"/>
      <c r="T11" s="6"/>
    </row>
    <row r="12" spans="1:20" ht="15" customHeight="1">
      <c r="B12" s="4"/>
      <c r="C12" s="40"/>
      <c r="D12" s="149"/>
      <c r="E12" s="46"/>
      <c r="F12" s="394" t="s">
        <v>211</v>
      </c>
      <c r="G12" s="394"/>
      <c r="H12" s="394"/>
      <c r="I12" s="394"/>
      <c r="J12" s="394"/>
      <c r="K12" s="160" t="s">
        <v>212</v>
      </c>
      <c r="L12" s="346"/>
      <c r="M12" s="47"/>
      <c r="N12" s="47"/>
      <c r="O12" s="47"/>
      <c r="P12" s="47"/>
      <c r="Q12" s="47"/>
      <c r="R12" s="47"/>
      <c r="S12" s="47"/>
      <c r="T12" s="6"/>
    </row>
    <row r="13" spans="1:20" ht="15.6">
      <c r="B13" s="4"/>
      <c r="C13" s="40"/>
      <c r="D13" s="149"/>
      <c r="E13" s="46"/>
      <c r="F13" s="394" t="s">
        <v>213</v>
      </c>
      <c r="G13" s="394"/>
      <c r="H13" s="394"/>
      <c r="I13" s="394"/>
      <c r="J13" s="394"/>
      <c r="K13" s="178" t="s">
        <v>214</v>
      </c>
      <c r="L13" s="103"/>
      <c r="M13" s="47"/>
      <c r="N13" s="47"/>
      <c r="O13" s="47"/>
      <c r="P13" s="47"/>
      <c r="Q13" s="47"/>
      <c r="R13" s="47"/>
      <c r="S13" s="47"/>
      <c r="T13" s="6"/>
    </row>
    <row r="14" spans="1:20" ht="15.6">
      <c r="B14" s="4"/>
      <c r="C14" s="40"/>
      <c r="D14" s="149"/>
      <c r="E14" s="46"/>
      <c r="F14" s="394" t="s">
        <v>215</v>
      </c>
      <c r="G14" s="394"/>
      <c r="H14" s="394"/>
      <c r="I14" s="394"/>
      <c r="J14" s="394"/>
      <c r="K14" s="160" t="s">
        <v>216</v>
      </c>
      <c r="L14" s="103" t="s">
        <v>217</v>
      </c>
      <c r="M14" s="47"/>
      <c r="N14" s="47"/>
      <c r="O14" s="47"/>
      <c r="P14" s="47"/>
      <c r="Q14" s="47"/>
      <c r="R14" s="47"/>
      <c r="S14" s="47"/>
      <c r="T14" s="6"/>
    </row>
    <row r="15" spans="1:20" ht="15.6">
      <c r="B15" s="4"/>
      <c r="C15" s="40"/>
      <c r="D15" s="149"/>
      <c r="E15" s="46"/>
      <c r="F15" s="394" t="s">
        <v>218</v>
      </c>
      <c r="G15" s="394"/>
      <c r="H15" s="394"/>
      <c r="I15" s="394"/>
      <c r="J15" s="394"/>
      <c r="K15" s="160" t="s">
        <v>175</v>
      </c>
      <c r="L15" s="103"/>
      <c r="M15" s="47"/>
      <c r="N15" s="47"/>
      <c r="O15" s="47"/>
      <c r="P15" s="47"/>
      <c r="Q15" s="47"/>
      <c r="R15" s="47"/>
      <c r="S15" s="47"/>
      <c r="T15" s="6"/>
    </row>
    <row r="16" spans="1:20" ht="27" customHeight="1">
      <c r="B16" s="4"/>
      <c r="C16" s="40"/>
      <c r="D16" s="149"/>
      <c r="E16" s="445" t="s">
        <v>219</v>
      </c>
      <c r="F16" s="445"/>
      <c r="G16" s="445"/>
      <c r="H16" s="445"/>
      <c r="I16" s="445"/>
      <c r="J16" s="445"/>
      <c r="K16" s="445"/>
      <c r="L16" s="445"/>
      <c r="M16" s="445"/>
      <c r="N16" s="445"/>
      <c r="O16" s="445"/>
      <c r="P16" s="445"/>
      <c r="Q16" s="445"/>
      <c r="R16" s="445"/>
      <c r="S16" s="445"/>
      <c r="T16" s="6"/>
    </row>
    <row r="17" spans="2:55" ht="35.25" customHeight="1">
      <c r="B17" s="4"/>
      <c r="C17" s="40"/>
      <c r="D17" s="149"/>
      <c r="E17" s="46" t="s">
        <v>167</v>
      </c>
      <c r="F17" s="47" t="s">
        <v>220</v>
      </c>
      <c r="G17" s="47"/>
      <c r="H17" s="47"/>
      <c r="I17" s="47"/>
      <c r="J17" s="47"/>
      <c r="K17" s="103">
        <v>0</v>
      </c>
      <c r="L17" s="103"/>
      <c r="M17" s="47"/>
      <c r="N17" s="47"/>
      <c r="O17" s="444" t="s">
        <v>221</v>
      </c>
      <c r="P17" s="444"/>
      <c r="Q17" s="444"/>
      <c r="R17" s="198"/>
      <c r="S17" s="47"/>
      <c r="T17" s="6"/>
      <c r="V17" s="13"/>
      <c r="W17" s="13"/>
      <c r="X17" s="13"/>
      <c r="Y17" s="13"/>
      <c r="Z17" s="13"/>
    </row>
    <row r="18" spans="2:55" ht="26.25" customHeight="1">
      <c r="B18" s="4"/>
      <c r="C18" s="40"/>
      <c r="D18" s="149"/>
      <c r="E18" s="46"/>
      <c r="F18" s="47"/>
      <c r="G18" s="47"/>
      <c r="H18" s="47"/>
      <c r="I18" s="47"/>
      <c r="J18" s="47"/>
      <c r="K18" s="103"/>
      <c r="L18" s="103"/>
      <c r="M18" s="47"/>
      <c r="N18" s="47"/>
      <c r="O18" s="198" t="str">
        <f>IF(K12="Tone","Tone","")</f>
        <v>Tone</v>
      </c>
      <c r="P18" s="198" t="str">
        <f>IF(K12="Parrett","Parrett","")</f>
        <v/>
      </c>
      <c r="Q18" s="198" t="str">
        <f>IF(K12="Brue and Axe","Brue and Axe","")</f>
        <v/>
      </c>
      <c r="R18" s="198"/>
      <c r="S18" s="47"/>
      <c r="T18" s="6"/>
      <c r="V18" s="13"/>
      <c r="W18" s="13"/>
      <c r="X18" s="13"/>
      <c r="Y18" s="13"/>
      <c r="Z18" s="13"/>
    </row>
    <row r="19" spans="2:55" ht="14.45" customHeight="1">
      <c r="B19" s="4"/>
      <c r="C19" s="40"/>
      <c r="D19" s="149"/>
      <c r="E19" s="47"/>
      <c r="F19" s="394" t="s">
        <v>39</v>
      </c>
      <c r="G19" s="394"/>
      <c r="H19" s="394"/>
      <c r="I19" s="394"/>
      <c r="J19" s="394"/>
      <c r="K19" s="349"/>
      <c r="L19" s="161" t="s">
        <v>222</v>
      </c>
      <c r="M19" s="47"/>
      <c r="N19" s="47"/>
      <c r="O19" s="183">
        <f>IF(K12="Tone",($K19*IF($K$14="650-675",'Data Tables'!Y42,IF($K$14="675-700",'Data Tables'!Y43,IF($K$14="700-750",'Data Tables'!Y44,IF($K$14="750-800",'Data Tables'!Y45,IF($K$14="800-850",'Data Tables'!Y46,IF($K$14="850-900",'Data Tables'!Y47,IF($K$14="900-950",'Data Tables'!Y48,IF($K$14="950-1000",'Data Tables'!Y49,IF($K$14="1000-1100",'Data Tables'!Y50,IF($K$14="1100-1200",'Data Tables'!Y51,'Data Tables'!Y52))))))))))),"")</f>
        <v>0</v>
      </c>
      <c r="P19" s="183" t="str">
        <f>IF(K12="Parrett",($K19*IF($K$14="650-675",'Data Tables'!Y42,IF($K$14="675-700",'Data Tables'!Y43,IF($K$14="700-750",'Data Tables'!Y44,IF($K$14="750-800",'Data Tables'!Y45,IF($K$14="800-850",'Data Tables'!Y46,IF($K$14="850-900",'Data Tables'!Y47,IF($K$14="900-950",'Data Tables'!Y48,IF($K$14="950-1000",'Data Tables'!Y49,IF($K$14="1000-1100",'Data Tables'!Y50,IF($K$14="1100-1200",'Data Tables'!Y51,'Data Tables'!Y52))))))))))),"")</f>
        <v/>
      </c>
      <c r="Q19" s="183" t="str">
        <f>IF(K12="Brue and Axe",($K19*IF($K$14="650-675",'Data Tables'!Y42,IF($K$14="675-700",'Data Tables'!Y43,IF($K$14="700-750",'Data Tables'!Y44,IF($K$14="750-800",'Data Tables'!Y45,IF($K$14="800-850",'Data Tables'!Y46,IF($K$14="850-900",'Data Tables'!Y47,IF($K$14="900-950",'Data Tables'!Y48,IF($K$14="950-1000",'Data Tables'!Y49,IF($K$14="1000-1100",'Data Tables'!Y50,IF($K$14="1100-1200",'Data Tables'!Y51,'Data Tables'!Y52))))))))))),"")</f>
        <v/>
      </c>
      <c r="R19" s="200"/>
      <c r="S19" s="47" t="s">
        <v>223</v>
      </c>
      <c r="T19" s="6"/>
      <c r="V19" s="357">
        <f>IF(K12="Tone",(1*IF($K$14="650-675",'Data Tables'!Y42,IF($K$14="675-700",'Data Tables'!Y43,IF($K$14="700-750",'Data Tables'!Y44,IF($K$14="750-800",'Data Tables'!Y45,IF($K$14="800-850",'Data Tables'!Y46,IF($K$14="850-900",'Data Tables'!Y47,IF($K$14="900-950",'Data Tables'!Y48,IF($K$14="950-1000",'Data Tables'!Y49,IF($K$14="1000-1100",'Data Tables'!Y50,IF($K$14="1100-1200",'Data Tables'!Y51,'Data Tables'!Y52))))))))))),"")</f>
        <v>2.101714976899999</v>
      </c>
      <c r="W19" s="358" t="str">
        <f>IF(K12="Parrett",(1*IF($K$14="650-675",'Data Tables'!Y42,IF($K$14="675-700",'Data Tables'!Y43,IF($K$14="700-750",'Data Tables'!Y44,IF($K$14="750-800",'Data Tables'!Y45,IF($K$14="800-850",'Data Tables'!Y46,IF($K$14="850-900",'Data Tables'!Y47,IF($K$14="900-950",'Data Tables'!Y48,IF($K$14="950-1000",'Data Tables'!Y49,IF($K$14="1000-1100",'Data Tables'!Y50,IF($K$14="1100-1200",'Data Tables'!Y51,'Data Tables'!Y52))))))))))),"")</f>
        <v/>
      </c>
      <c r="X19" s="359" t="str">
        <f>IF(K12="Brue and Axe",(1*IF($K$14="650-675",'Data Tables'!Y42,IF($K$14="675-700",'Data Tables'!Y43,IF($K$14="700-750",'Data Tables'!Y44,IF($K$14="750-800",'Data Tables'!Y45,IF($K$14="800-850",'Data Tables'!Y46,IF($K$14="850-900",'Data Tables'!Y47,IF($K$14="900-950",'Data Tables'!Y48,IF($K$14="950-1000",'Data Tables'!Y49,IF($K$14="1000-1100",'Data Tables'!Y50,IF($K$14="1100-1200",'Data Tables'!Y51,'Data Tables'!Y52))))))))))),"")</f>
        <v/>
      </c>
      <c r="Y19" s="354"/>
      <c r="Z19" s="354" t="b">
        <f>V19=O19</f>
        <v>0</v>
      </c>
      <c r="AA19" s="354" t="b">
        <f>W19=P19</f>
        <v>1</v>
      </c>
      <c r="AB19" s="354" t="b">
        <f>X19=Q19</f>
        <v>1</v>
      </c>
      <c r="AC19" s="442"/>
      <c r="AD19" s="442"/>
      <c r="AE19" s="442"/>
      <c r="AF19" s="442"/>
      <c r="AG19" s="442"/>
      <c r="AH19" s="442"/>
    </row>
    <row r="20" spans="2:55" ht="14.45" customHeight="1">
      <c r="B20" s="4"/>
      <c r="C20" s="40"/>
      <c r="D20" s="149"/>
      <c r="E20" s="47"/>
      <c r="F20" s="101" t="s">
        <v>224</v>
      </c>
      <c r="G20" s="101"/>
      <c r="H20" s="101"/>
      <c r="I20" s="101"/>
      <c r="J20" s="101"/>
      <c r="K20" s="349"/>
      <c r="L20" s="161" t="s">
        <v>222</v>
      </c>
      <c r="M20" s="47"/>
      <c r="N20" s="47"/>
      <c r="O20" s="183">
        <f>IF(K12="Tone",($K20*IF($K$14="650-675",'Data Tables'!AA42,IF($K$14="675-700",'Data Tables'!AA43,IF($K$14="700-750",'Data Tables'!AA44,IF($K$14="750-800",'Data Tables'!AA45,IF($K$14="800-850",'Data Tables'!AA46,IF($K$14="850-900",'Data Tables'!AA47,IF($K$14="900-950",'Data Tables'!AA48,IF($K$14="950-1000",'Data Tables'!AA49,IF($K$14="1000-1100",'Data Tables'!AA50,IF($K$14="1100-1200",'Data Tables'!AA51,'Data Tables'!AA51))))))))))),"")</f>
        <v>0</v>
      </c>
      <c r="P20" s="183" t="str">
        <f>IF(K12="Parrett",($K20*IF($K$14="650-675",'Data Tables'!AA42,IF($K$14="675-700",'Data Tables'!AA43,IF($K$14="700-750",'Data Tables'!AA44,IF($K$14="750-800",'Data Tables'!AA45,IF($K$14="800-850",'Data Tables'!AA46,IF($K$14="850-900",'Data Tables'!AA47,IF($K$14="900-950",'Data Tables'!AA48,IF($K$14="950-1000",'Data Tables'!AA49,IF($K$14="1000-1100",'Data Tables'!AA50,IF($K$14="1100-1200",'Data Tables'!AA51,'Data Tables'!Y52))))))))))),"")</f>
        <v/>
      </c>
      <c r="Q20" s="183" t="str">
        <f>IF(K12="Brue and Axe",($K20*IF($K$14="650-675",'Data Tables'!Y42,IF($K$14="675-700",'Data Tables'!Y43,IF($K$14="700-750",'Data Tables'!Y44,IF($K$14="750-800",'Data Tables'!Y45,IF($K$14="800-850",'Data Tables'!Y46,IF($K$14="850-900",'Data Tables'!Y47,IF($K$14="900-950",'Data Tables'!Y48,IF($K$14="950-1000",'Data Tables'!Y49,IF($K$14="1000-1100",'Data Tables'!Y50,IF($K$14="1100-1200",'Data Tables'!Y51,'Data Tables'!Y52))))))))))),"")</f>
        <v/>
      </c>
      <c r="R20" s="200"/>
      <c r="S20" s="47" t="s">
        <v>223</v>
      </c>
      <c r="T20" s="6"/>
      <c r="V20" s="357">
        <f>IF(K12="Tone",(1*IF($K$14="650-675",'Data Tables'!AA42,IF($K$14="675-700",'Data Tables'!AA43,IF($K$14="700-750",'Data Tables'!AA44,IF($K$14="750-800",'Data Tables'!AA45,IF($K$14="800-850",'Data Tables'!AA46,IF($K$14="850-900",'Data Tables'!AA47,IF($K$14="900-950",'Data Tables'!AA48,IF($K$14="950-1000",'Data Tables'!AA49,IF($K$14="1000-1100",'Data Tables'!AA50,IF($K$14="1100-1200",'Data Tables'!AA51,'Data Tables'!AA51))))))))))),"")</f>
        <v>2.101714976899999</v>
      </c>
      <c r="W20" s="358" t="str">
        <f>IF(K12="Parrett",(1*IF($K$14="650-675",'Data Tables'!AA42,IF($K$14="675-700",'Data Tables'!AA43,IF($K$14="700-750",'Data Tables'!AA44,IF($K$14="750-800",'Data Tables'!AA45,IF($K$14="800-850",'Data Tables'!AA46,IF($K$14="850-900",'Data Tables'!AA47,IF($K$14="900-950",'Data Tables'!AA48,IF($K$14="950-1000",'Data Tables'!AA49,IF($K$14="1000-1100",'Data Tables'!AA50,IF($K$14="1100-1200",'Data Tables'!AA51,'Data Tables'!Y52))))))))))),"")</f>
        <v/>
      </c>
      <c r="X20" s="359" t="str">
        <f>IF(K12="Brue and Axe",(1*IF($K$14="650-675",'Data Tables'!AA42,IF($K$14="675-700",'Data Tables'!AA43,IF($K$14="700-750",'Data Tables'!AA44,IF($K$14="750-800",'Data Tables'!AA45,IF($K$14="800-850",'Data Tables'!AA46,IF($K$14="850-900",'Data Tables'!AA47,IF($K$14="900-950",'Data Tables'!AA48,IF($K$14="950-1000",'Data Tables'!AA49,IF($K$14="1000-1100",'Data Tables'!AA50,IF($K$14="1100-1200",'Data Tables'!AA51,'Data Tables'!Y52))))))))))),"")</f>
        <v/>
      </c>
      <c r="Y20" s="354"/>
      <c r="Z20" s="354" t="b">
        <f t="shared" ref="Z20:Z36" si="0">V20=O20</f>
        <v>0</v>
      </c>
      <c r="AA20" s="354" t="b">
        <f t="shared" ref="AA20:AA36" si="1">W20=P20</f>
        <v>1</v>
      </c>
      <c r="AB20" s="354" t="b">
        <f t="shared" ref="AB20:AB36" si="2">X20=Q20</f>
        <v>1</v>
      </c>
      <c r="AC20" s="340"/>
      <c r="AD20" s="340"/>
      <c r="AE20" s="340"/>
      <c r="AF20" s="340"/>
      <c r="AG20" s="340"/>
      <c r="AH20" s="340"/>
    </row>
    <row r="21" spans="2:55" ht="14.45" customHeight="1">
      <c r="B21" s="4"/>
      <c r="C21" s="40"/>
      <c r="D21" s="149"/>
      <c r="E21" s="47"/>
      <c r="F21" s="394" t="s">
        <v>225</v>
      </c>
      <c r="G21" s="394"/>
      <c r="H21" s="394"/>
      <c r="I21" s="394"/>
      <c r="J21" s="394"/>
      <c r="K21" s="349"/>
      <c r="L21" s="161" t="s">
        <v>222</v>
      </c>
      <c r="M21" s="47"/>
      <c r="N21" s="47"/>
      <c r="O21" s="183">
        <f>IF(K12="Tone",($K21*IF($K$14="650-675",'Data Tables'!AB42,IF($K$14="675-700",'Data Tables'!AB43,IF($K$14="700-750",'Data Tables'!AB44,IF($K$14="750-800",'Data Tables'!AB45,IF($K$14="800-850",'Data Tables'!AB46,IF($K$14="850-900",'Data Tables'!AB47,IF($K$14="900-950",'Data Tables'!AB48,IF($K$14="950-1000",'Data Tables'!AB49,IF($K$14="1000-1100",'Data Tables'!AB50,IF($K$14="1100-1200",'Data Tables'!AB51,'Data Tables'!AB52))))))))))),"")</f>
        <v>0</v>
      </c>
      <c r="P21" s="183" t="str">
        <f>IF(K12="Parrett",($K21*IF($K$14="650-675",'Data Tables'!AB42,IF($K$14="675-700",'Data Tables'!AB43,IF($K$14="700-750",'Data Tables'!AB44,IF($K$14="750-800",'Data Tables'!AB45,IF($K$14="800-850",'Data Tables'!AB46,IF($K$14="850-900",'Data Tables'!AB47,IF($K$14="900-950",'Data Tables'!AB48,IF($K$14="950-1000",'Data Tables'!AB49,IF($K$14="1000-1100",'Data Tables'!AB50,IF($K$14="1100-1200",'Data Tables'!AB51,'Data Tables'!AB52))))))))))),"")</f>
        <v/>
      </c>
      <c r="Q21" s="183" t="str">
        <f>IF(K12="Brue and Axe",($K21*IF($K$14="650-675",'Data Tables'!AB42,IF($K$14="675-700",'Data Tables'!AB43,IF($K$14="700-750",'Data Tables'!AB44,IF($K$14="750-800",'Data Tables'!AB45,IF($K$14="800-850",'Data Tables'!AB46,IF($K$14="850-900",'Data Tables'!AB47,IF($K$14="900-950",'Data Tables'!AB48,IF($K$14="950-1000",'Data Tables'!AB49,IF($K$14="1000-1100",'Data Tables'!AB50,IF($K$14="1100-1200",'Data Tables'!AB51,'Data Tables'!AB52))))))))))),"")</f>
        <v/>
      </c>
      <c r="R21" s="200"/>
      <c r="S21" s="47" t="s">
        <v>223</v>
      </c>
      <c r="T21" s="6"/>
      <c r="V21" s="357">
        <f>IF(K12="Tone",(1*IF($K$14="650-675",'Data Tables'!AB42,IF($K$14="675-700",'Data Tables'!AB43,IF($K$14="700-750",'Data Tables'!AB44,IF($K$14="750-800",'Data Tables'!AB45,IF($K$14="800-850",'Data Tables'!AB46,IF($K$14="850-900",'Data Tables'!AB47,IF($K$14="900-950",'Data Tables'!AB48,IF($K$14="950-1000",'Data Tables'!AB49,IF($K$14="1000-1100",'Data Tables'!AB50,IF($K$14="1100-1200",'Data Tables'!AB51,'Data Tables'!AB52))))))))))),"")</f>
        <v>1.5378402269999996</v>
      </c>
      <c r="W21" s="358" t="str">
        <f>IF(K12="Parrett",(1*IF($K$14="650-675",'Data Tables'!AB42,IF($K$14="675-700",'Data Tables'!AB43,IF($K$14="700-750",'Data Tables'!AB44,IF($K$14="750-800",'Data Tables'!AB45,IF($K$14="800-850",'Data Tables'!AB46,IF($K$14="850-900",'Data Tables'!AB47,IF($K$14="900-950",'Data Tables'!AB48,IF($K$14="950-1000",'Data Tables'!AB49,IF($K$14="1000-1100",'Data Tables'!AB50,IF($K$14="1100-1200",'Data Tables'!AB51,'Data Tables'!AB52))))))))))),"")</f>
        <v/>
      </c>
      <c r="X21" s="359" t="str">
        <f>IF(K12="Brue and Axe",(1*IF($K$14="650-675",'Data Tables'!AB42,IF($K$14="675-700",'Data Tables'!AB43,IF($K$14="700-750",'Data Tables'!AB44,IF($K$14="750-800",'Data Tables'!AB45,IF($K$14="800-850",'Data Tables'!AB46,IF($K$14="850-900",'Data Tables'!AB47,IF($K$14="900-950",'Data Tables'!AB48,IF($K$14="950-1000",'Data Tables'!AB49,IF($K$14="1000-1100",'Data Tables'!AB50,IF($K$14="1100-1200",'Data Tables'!AB51,'Data Tables'!AB52))))))))))),"")</f>
        <v/>
      </c>
      <c r="Y21" s="353"/>
      <c r="Z21" s="354" t="b">
        <f t="shared" si="0"/>
        <v>0</v>
      </c>
      <c r="AA21" s="354" t="b">
        <f t="shared" si="1"/>
        <v>1</v>
      </c>
      <c r="AB21" s="354" t="b">
        <f t="shared" si="2"/>
        <v>1</v>
      </c>
      <c r="AC21" s="13"/>
      <c r="AD21" s="13"/>
      <c r="AE21" s="13"/>
      <c r="AF21" s="13"/>
      <c r="AG21" s="13"/>
      <c r="AH21" s="13"/>
    </row>
    <row r="22" spans="2:55" ht="14.45" customHeight="1">
      <c r="B22" s="4"/>
      <c r="C22" s="40"/>
      <c r="D22" s="149"/>
      <c r="E22" s="47"/>
      <c r="F22" s="394" t="s">
        <v>45</v>
      </c>
      <c r="G22" s="394"/>
      <c r="H22" s="394"/>
      <c r="I22" s="394"/>
      <c r="J22" s="394"/>
      <c r="K22" s="349"/>
      <c r="L22" s="161" t="s">
        <v>222</v>
      </c>
      <c r="M22" s="47"/>
      <c r="N22" s="47"/>
      <c r="O22" s="183">
        <f>IF(K12="Tone",($K22*IF($K$14="650-675",'Data Tables'!AC42,IF($K$14="675-700",'Data Tables'!AC43,IF($K$14="700-750",'Data Tables'!AC44,IF($K$14="750-800",'Data Tables'!AC45,IF($K$14="800-850",'Data Tables'!AC46,IF($K$14="850-900",'Data Tables'!AC47,IF($K$14="900-950",'Data Tables'!AC48,IF($K$14="950-1000",'Data Tables'!AC49,IF($K$14="1000-1100",'Data Tables'!AC50,IF($K$14="1100-1200",'Data Tables'!AC51,'Data Tables'!AC52))))))))))),"")</f>
        <v>0</v>
      </c>
      <c r="P22" s="183" t="str">
        <f>IF(K12="Parrett",($K22*IF($K$14="650-675",'Data Tables'!AC42,IF($K$14="675-700",'Data Tables'!AC43,IF($K$14="700-750",'Data Tables'!AC44,IF($K$14="750-800",'Data Tables'!AC45,IF($K$14="800-850",'Data Tables'!AC46,IF($K$14="850-900",'Data Tables'!AC47,IF($K$14="900-950",'Data Tables'!AC48,IF($K$14="950-1000",'Data Tables'!AC49,IF($K$14="1000-1100",'Data Tables'!AC50,IF($K$14="1100-1200",'Data Tables'!AC51,'Data Tables'!AC52))))))))))),"")</f>
        <v/>
      </c>
      <c r="Q22" s="183" t="str">
        <f>IF(K12="Brue and Axe",($K22*IF($K$14="650-675",'Data Tables'!AC42,IF($K$14="675-700",'Data Tables'!AC43,IF($K$14="700-750",'Data Tables'!AC44,IF($K$14="750-800",'Data Tables'!AC45,IF($K$14="800-850",'Data Tables'!AC46,IF($K$14="850-900",'Data Tables'!AC47,IF($K$14="900-950",'Data Tables'!AC48,IF($K$14="950-1000",'Data Tables'!AC49,IF($K$14="1000-1100",'Data Tables'!AC50,IF($K$14="1100-1200",'Data Tables'!AC51,'Data Tables'!AC52))))))))))),"")</f>
        <v/>
      </c>
      <c r="R22" s="200"/>
      <c r="S22" s="47" t="s">
        <v>223</v>
      </c>
      <c r="T22" s="6"/>
      <c r="V22" s="357">
        <f>IF(K12="Tone",(1*IF($K$14="650-675",'Data Tables'!AC42,IF($K$14="675-700",'Data Tables'!AC43,IF($K$14="700-750",'Data Tables'!AC44,IF($K$14="750-800",'Data Tables'!AC45,IF($K$14="800-850",'Data Tables'!AC46,IF($K$14="850-900",'Data Tables'!AC47,IF($K$14="900-950",'Data Tables'!AC48,IF($K$14="950-1000",'Data Tables'!AC49,IF($K$14="1000-1100",'Data Tables'!AC50,IF($K$14="1100-1200",'Data Tables'!AC51,'Data Tables'!AC52))))))))))),"")</f>
        <v>1.1277494997999997</v>
      </c>
      <c r="W22" s="358" t="str">
        <f>IF(K12="Parrett",(1*IF($K$14="650-675",'Data Tables'!AC42,IF($K$14="675-700",'Data Tables'!AC43,IF($K$14="700-750",'Data Tables'!AC44,IF($K$14="750-800",'Data Tables'!AC45,IF($K$14="800-850",'Data Tables'!AC46,IF($K$14="850-900",'Data Tables'!AC47,IF($K$14="900-950",'Data Tables'!AC48,IF($K$14="950-1000",'Data Tables'!AC49,IF($K$14="1000-1100",'Data Tables'!AC50,IF($K$14="1100-1200",'Data Tables'!AC51,'Data Tables'!AC52))))))))))),"")</f>
        <v/>
      </c>
      <c r="X22" s="359" t="str">
        <f>IF(K12="Brue and Axe",(1*IF($K$14="650-675",'Data Tables'!AC42,IF($K$14="675-700",'Data Tables'!AC43,IF($K$14="700-750",'Data Tables'!AC44,IF($K$14="750-800",'Data Tables'!AC45,IF($K$14="800-850",'Data Tables'!AC46,IF($K$14="850-900",'Data Tables'!AC47,IF($K$14="900-950",'Data Tables'!AC48,IF($K$14="950-1000",'Data Tables'!AC49,IF($K$14="1000-1100",'Data Tables'!AC50,IF($K$14="1100-1200",'Data Tables'!AC51,'Data Tables'!AC52))))))))))),"")</f>
        <v/>
      </c>
      <c r="Y22" s="353"/>
      <c r="Z22" s="354" t="b">
        <f t="shared" si="0"/>
        <v>0</v>
      </c>
      <c r="AA22" s="354" t="b">
        <f t="shared" si="1"/>
        <v>1</v>
      </c>
      <c r="AB22" s="354" t="b">
        <f t="shared" si="2"/>
        <v>1</v>
      </c>
      <c r="AC22" s="13"/>
      <c r="AD22" s="13"/>
      <c r="AE22" s="13"/>
      <c r="AF22" s="13"/>
      <c r="AG22" s="13"/>
      <c r="AH22" s="13"/>
    </row>
    <row r="23" spans="2:55" ht="14.45" customHeight="1">
      <c r="B23" s="4"/>
      <c r="C23" s="40"/>
      <c r="D23" s="149"/>
      <c r="E23" s="47"/>
      <c r="F23" s="394" t="s">
        <v>49</v>
      </c>
      <c r="G23" s="394"/>
      <c r="H23" s="394"/>
      <c r="I23" s="394"/>
      <c r="J23" s="394"/>
      <c r="K23" s="349"/>
      <c r="L23" s="161" t="s">
        <v>222</v>
      </c>
      <c r="M23" s="47"/>
      <c r="N23" s="47"/>
      <c r="O23" s="364">
        <f>IF($K$12="Tone",($K23*(IF($K$13="Freely draining",IF($K$14="650-675",IF($K$15="Yes",'Data Tables'!O5,'Data Tables'!P5),IF($K$14="675-700",IF($K$15="Yes",'Data Tables'!O5,'Data Tables'!P5),IF($K$14="700-750",IF($K$15="Yes",'Data Tables'!U5,'Data Tables'!V5),IF($K$14="750-800",IF($K$15="Yes",'Data Tables'!U5,'Data Tables'!V5),IF($K$14="800-850",IF($K$15="Yes",'Data Tables'!U5,'Data Tables'!V5),IF($K$14="850-900",IF($K$15="Yes",'Data Tables'!U5,'Data Tables'!V5),IF($K$14="900-950",IF($K$15="Yes",'Data Tables'!AA5,'Data Tables'!AB5),IF($K$14="950-1000",IF($K$15="Yes",'Data Tables'!AA5,'Data Tables'!AB5),IF($K$14="1000-1100",IF($K$15="Yes",'Data Tables'!AA5,'Data Tables'!AB5),IF($K$14="1100-1200",IF($K$15="Yes",'Data Tables'!AA5,'Data Tables'!AB5),IF($K$15="Yes",'Data Tables'!AG5,'Data Tables'!AH5))))))))))),IF($K$13="Impermeable - drained for arable",IF($K$14="650-675",IF($K$15="Yes",'Data Tables'!Q5,'Data Tables'!R5),IF($K$14="675-700",IF($K$15="Yes",'Data Tables'!Q5,'Data Tables'!R5),IF($K$14="700-750",IF($K$15="Yes",'Data Tables'!W5,'Data Tables'!X5),IF($K$14="750-800",IF($K$15="Yes",'Data Tables'!W5,'Data Tables'!X5),IF($K$14="800-850",IF($K$15="Yes",'Data Tables'!W5,'Data Tables'!X5),IF($K$14="850-900",IF($K$15="Yes",'Data Tables'!W5,'Data Tables'!X5),IF($K$14="900-950",IF($K$15="Yes",'Data Tables'!AC5,'Data Tables'!AD5),IF($K$14="950-1000",IF($K$15="Yes",'Data Tables'!AC5,'Data Tables'!AD5),IF($K$14="1000-1100",IF($K$15="Yes",'Data Tables'!AC5,'Data Tables'!AD5),IF($K$14="1100-1200",IF($K$15="Yes",'Data Tables'!AC5,'Data Tables'!AD5),IF($K$15="Yes",'Data Tables'!AI5,'Data Tables'!AJ5))))))))))),IF($K$14="650-675",IF($K$15="Yes",'Data Tables'!S5,'Data Tables'!T5),IF($K$14="675-700",IF($K$15="Yes",'Data Tables'!S5,'Data Tables'!T5),IF($K$14="700-750",IF($K$15="Yes",'Data Tables'!Y5,'Data Tables'!Z5),IF($K$14="750-800",IF($K$15="Yes",'Data Tables'!Y5,'Data Tables'!Z5),IF($K$14="800-850",IF($K$15="Yes",'Data Tables'!Y5,'Data Tables'!Z5),IF($K$14="850-900",IF($K$15="Yes",'Data Tables'!Y5,'Data Tables'!Z5),IF($K$14="900-950",IF($K$15="Yes",'Data Tables'!AE5,'Data Tables'!AF5),IF($K$14="950-1000",IF($K$15="Yes",'Data Tables'!AE5,'Data Tables'!AF5),IF($K$14="1000-1100",IF($K$15="Yes",'Data Tables'!AE5,'Data Tables'!AF5),IF($K$14="1100-1200",IF($K$15="Yes",'Data Tables'!AE5,'Data Tables'!AF5),IF($K$15="Yes",'Data Tables'!AK5,'Data Tables'!AL5))))))))))))))),"")</f>
        <v>0</v>
      </c>
      <c r="P23" s="364" t="str">
        <f>IF($K$12="Parrett",($K23*(IF($K$13="Freely draining",IF($K$14="650-675",IF($K$15="Yes",'Data Tables'!O17,'Data Tables'!P17),IF($K$14="675-700",IF($K$15="Yes",'Data Tables'!O17,'Data Tables'!P17),IF($K$14="700-750",IF($K$15="Yes",'Data Tables'!U17,'Data Tables'!V17),IF($K$14="750-800",IF($K$15="Yes",'Data Tables'!U17,'Data Tables'!V17),IF($K$14="800-850",IF($K$15="Yes",'Data Tables'!U17,'Data Tables'!V17),IF($K$14="850-900",IF($K$15="Yes",'Data Tables'!U17,'Data Tables'!V17),IF($K$14="900-950",IF($K$15="Yes",'Data Tables'!AA17,'Data Tables'!AB17),IF($K$14="950-1000",IF($K$15="Yes",'Data Tables'!AA17,'Data Tables'!AB17),IF($K$14="1000-1100",IF($K$15="Yes",'Data Tables'!AA17,'Data Tables'!AB17),IF($K$14="1100-1200",IF($K$15="Yes",'Data Tables'!AA17,'Data Tables'!AB17),IF($K$15="Yes",'Data Tables'!AG17,'Data Tables'!AH17))))))))))),IF($K$13="Impermeable - drained for arable",IF($K$14="650-675",IF($K$15="Yes",'Data Tables'!Q17,'Data Tables'!R17),IF($K$14="675-700",IF($K$15="Yes",'Data Tables'!Q17,'Data Tables'!R17),IF($K$14="700-750",IF($K$15="Yes",'Data Tables'!W17,'Data Tables'!X17),IF($K$14="750-800",IF($K$15="Yes",'Data Tables'!W17,'Data Tables'!X17),IF($K$14="800-850",IF($K$15="Yes",'Data Tables'!W17,'Data Tables'!X17),IF($K$14="850-900",IF($K$15="Yes",'Data Tables'!W17,'Data Tables'!X17),IF($K$14="900-950",IF($K$15="Yes",'Data Tables'!AC17,'Data Tables'!AD17),IF($K$14="950-1000",IF($K$15="Yes",'Data Tables'!AC17,'Data Tables'!AD17),IF($K$14="1000-1100",IF($K$15="Yes",'Data Tables'!AC17,'Data Tables'!AD17),IF($K$14="1100-1200",IF($K$15="Yes",'Data Tables'!AC17,'Data Tables'!AD17),IF($K$15="Yes",'Data Tables'!AI17,'Data Tables'!AJ17))))))))))),IF($K$14="650-675",IF($K$15="Yes",'Data Tables'!S17,'Data Tables'!T17),IF($K$14="675-700",IF($K$15="Yes",'Data Tables'!S17,'Data Tables'!T17),IF($K$14="700-750",IF($K$15="Yes",'Data Tables'!Y17,'Data Tables'!Z17),IF($K$14="750-800",IF($K$15="Yes",'Data Tables'!Y17,'Data Tables'!Z17),IF($K$14="800-850",IF($K$15="Yes",'Data Tables'!Y17,'Data Tables'!Z17),IF($K$14="850-900",IF($K$15="Yes",'Data Tables'!Y17,'Data Tables'!Z17),IF($K$14="900-950",IF($K$15="Yes",'Data Tables'!AE17,'Data Tables'!AF17),IF($K$14="950-1000",IF($K$15="Yes",'Data Tables'!AE17,'Data Tables'!AF17),IF($K$14="1000-1100",IF($K$15="Yes",'Data Tables'!AE17,'Data Tables'!AF17),IF($K$14="1100-1200",IF($K$15="Yes",'Data Tables'!AE17,'Data Tables'!AF17),IF($K$15="Yes",'Data Tables'!AK17,'Data Tables'!AL17))))))))))))))),"")</f>
        <v/>
      </c>
      <c r="Q23" s="364" t="str">
        <f>IF(K$12="Brue and Axe",$K23*(IF($K$13="Freely draining",IF($K$14="650-675",IF($K$15="Yes",'Data Tables'!O29,'Data Tables'!P29),IF($K$14="675-700",IF($K$15="Yes",'Data Tables'!O29,'Data Tables'!P29),IF($K$14="700-750",IF($K$15="Yes",'Data Tables'!U29,'Data Tables'!V29),IF($K$14="750-800",IF($K$15="Yes",'Data Tables'!U29,'Data Tables'!V29),IF($K$14="800-850",IF($K$15="Yes",'Data Tables'!U29,'Data Tables'!V29),IF($K$14="850-900",IF($K$15="Yes",'Data Tables'!U29,'Data Tables'!V29),IF($K$14="900-950",IF($K$15="Yes",'Data Tables'!AA29,'Data Tables'!AB29),IF($K$14="950-1000",IF($K$15="Yes",'Data Tables'!AA29,'Data Tables'!AB29),IF($K$14="1000-1100",IF($K$15="Yes",'Data Tables'!AA29,'Data Tables'!AB29),IF($K$14="1100-1200",IF($K$15="Yes",'Data Tables'!AA29,'Data Tables'!AB29),IF($K$15="Yes",'Data Tables'!AG29,'Data Tables'!AH29))))))))))),IF($K$13="Impermeable - drained for arable",IF($K$14="650-675",IF($K$15="Yes",'Data Tables'!Q29,'Data Tables'!R29),IF($K$14="675-700",IF($K$15="Yes",'Data Tables'!Q29,'Data Tables'!R29),IF($K$14="700-750",IF($K$15="Yes",'Data Tables'!W29,'Data Tables'!X29),IF($K$14="750-800",IF($K$15="Yes",'Data Tables'!W29,'Data Tables'!X29),IF($K$14="800-850",IF($K$15="Yes",'Data Tables'!W29,'Data Tables'!X29),IF($K$14="850-900",IF($K$15="Yes",'Data Tables'!W29,'Data Tables'!X29),IF($K$14="900-950",IF($K$15="Yes",'Data Tables'!AC29,'Data Tables'!AD29),IF($K$14="950-1000",IF($K$15="Yes",'Data Tables'!AC29,'Data Tables'!AD29),IF($K$14="1000-1100",IF($K$15="Yes",'Data Tables'!AC29,'Data Tables'!AD29),IF($K$14="1100-1200",IF($K$15="Yes",'Data Tables'!AC29,'Data Tables'!AD29),IF($K$15="Yes",'Data Tables'!AI29,'Data Tables'!AJ29))))))))))),IF($K$14="650-675",IF($K$15="Yes",'Data Tables'!S29,'Data Tables'!T29),IF($K$14="675-700",IF($K$15="Yes",'Data Tables'!S29,'Data Tables'!T29),IF($K$14="700-750",IF($K$15="Yes",'Data Tables'!Y29,'Data Tables'!Z29),IF($K$14="750-800",IF($K$15="Yes",'Data Tables'!Y29,'Data Tables'!Z29),IF($K$14="800-850",IF($K$15="Yes",'Data Tables'!Y29,'Data Tables'!Z29),IF($K$14="850-900",IF($K$15="Yes",'Data Tables'!Y29,'Data Tables'!Z29),IF($K$14="900-950",IF($K$15="Yes",'Data Tables'!AE29,'Data Tables'!AF29),IF($K$14="950-1000",IF($K$15="Yes",'Data Tables'!AE29,'Data Tables'!AF29),IF($K$14="1000-1100",IF($K$15="Yes",'Data Tables'!AE29,'Data Tables'!AF29),IF($K$14="1100-1200",IF($K$15="Yes",'Data Tables'!AE29,'Data Tables'!AF29),IF($K$15="Yes",'Data Tables'!AK29,'Data Tables'!AL29)))))))))))))),"")</f>
        <v/>
      </c>
      <c r="R23" s="200"/>
      <c r="S23" s="47" t="s">
        <v>223</v>
      </c>
      <c r="T23" s="6"/>
      <c r="V23" s="357">
        <f>IF($K$12="Tone",(1*(IF($K$13="Freely draining",IF($K$14="650-675",IF($K$15="Yes",'Data Tables'!O5,'Data Tables'!P5),IF($K$14="675-700",IF($K$15="Yes",'Data Tables'!O5,'Data Tables'!P5),IF($K$14="700-750",IF($K$15="Yes",'Data Tables'!U5,'Data Tables'!V5),IF($K$14="750-800",IF($K$15="Yes",'Data Tables'!U5,'Data Tables'!V5),IF($K$14="800-850",IF($K$15="Yes",'Data Tables'!U5,'Data Tables'!V5),IF($K$14="850-900",IF($K$15="Yes",'Data Tables'!U5,'Data Tables'!V5),IF($K$14="900-950",IF($K$15="Yes",'Data Tables'!AA5,'Data Tables'!AB5),IF($K$14="950-1000",IF($K$15="Yes",'Data Tables'!AA5,'Data Tables'!AB5),IF($K$14="1000-1100",IF($K$15="Yes",'Data Tables'!AA5,'Data Tables'!AB5),IF($K$14="1100-1200",IF($K$15="Yes",'Data Tables'!AA5,'Data Tables'!AB5),IF($K$15="Yes",'Data Tables'!AG5,'Data Tables'!AH5))))))))))),IF($K$13="Impermeable - drained for arable",IF($K$14="650-675",IF($K$15="Yes",'Data Tables'!Q5,'Data Tables'!R5),IF($K$14="675-700",IF($K$15="Yes",'Data Tables'!Q5,'Data Tables'!R5),IF($K$14="700-750",IF($K$15="Yes",'Data Tables'!W5,'Data Tables'!X5),IF($K$14="750-800",IF($K$15="Yes",'Data Tables'!W5,'Data Tables'!X5),IF($K$14="800-850",IF($K$15="Yes",'Data Tables'!W5,'Data Tables'!X5),IF($K$14="850-900",IF($K$15="Yes",'Data Tables'!W5,'Data Tables'!X5),IF($K$14="900-950",IF($K$15="Yes",'Data Tables'!AC5,'Data Tables'!AD5),IF($K$14="950-1000",IF($K$15="Yes",'Data Tables'!AC5,'Data Tables'!AD5),IF($K$14="1000-1100",IF($K$15="Yes",'Data Tables'!AC5,'Data Tables'!AD5),IF($K$14="1100-1200",IF($K$15="Yes",'Data Tables'!AC5,'Data Tables'!AD5),IF($K$15="Yes",'Data Tables'!AI5,'Data Tables'!AJ5))))))))))),IF($K$14="650-675",IF($K$15="Yes",'Data Tables'!S5,'Data Tables'!T5),IF($K$14="675-700",IF($K$15="Yes",'Data Tables'!S5,'Data Tables'!T5),IF($K$14="700-750",IF($K$15="Yes",'Data Tables'!Y5,'Data Tables'!Z5),IF($K$14="750-800",IF($K$15="Yes",'Data Tables'!Y5,'Data Tables'!Z5),IF($K$14="800-850",IF($K$15="Yes",'Data Tables'!Y5,'Data Tables'!Z5),IF($K$14="850-900",IF($K$15="Yes",'Data Tables'!Y5,'Data Tables'!Z5),IF($K$14="900-950",IF($K$15="Yes",'Data Tables'!AE5,'Data Tables'!AF5),IF($K$14="950-1000",IF($K$15="Yes",'Data Tables'!AE5,'Data Tables'!AF5),IF($K$14="1000-1100",IF($K$15="Yes",'Data Tables'!AE5,'Data Tables'!AF5),IF($K$14="1100-1200",IF($K$15="Yes",'Data Tables'!AE5,'Data Tables'!AF5),IF($K$15="Yes",'Data Tables'!AK5,'Data Tables'!AL5))))))))))))))),"")</f>
        <v>0.28999999999999998</v>
      </c>
      <c r="W23" s="360" t="str">
        <f>IF($K$12="Parrett",(1*(IF($K$13="Freely draining",IF($K$14="650-675",IF($K$15="Yes",'Data Tables'!O17,'Data Tables'!P17),IF($K$14="675-700",IF($K$15="Yes",'Data Tables'!O17,'Data Tables'!P17),IF($K$14="700-750",IF($K$15="Yes",'Data Tables'!U17,'Data Tables'!V17),IF($K$14="750-800",IF($K$15="Yes",'Data Tables'!U17,'Data Tables'!V17),IF($K$14="800-850",IF($K$15="Yes",'Data Tables'!U17,'Data Tables'!V17),IF($K$14="850-900",IF($K$15="Yes",'Data Tables'!U17,'Data Tables'!V17),IF($K$14="900-950",IF($K$15="Yes",'Data Tables'!AA17,'Data Tables'!AB17),IF($K$14="950-1000",IF($K$15="Yes",'Data Tables'!AA17,'Data Tables'!AB17),IF($K$14="1000-1100",IF($K$15="Yes",'Data Tables'!AA17,'Data Tables'!AB17),IF($K$14="1100-1200",IF($K$15="Yes",'Data Tables'!AA17,'Data Tables'!AB17),IF($K$15="Yes",'Data Tables'!AG17,'Data Tables'!AH17))))))))))),IF($K$13="Impermeable - drained for arable",IF($K$14="650-675",IF($K$15="Yes",'Data Tables'!Q17,'Data Tables'!R17),IF($K$14="675-700",IF($K$15="Yes",'Data Tables'!Q17,'Data Tables'!R17),IF($K$14="700-750",IF($K$15="Yes",'Data Tables'!W17,'Data Tables'!X17),IF($K$14="750-800",IF($K$15="Yes",'Data Tables'!W17,'Data Tables'!X17),IF($K$14="800-850",IF($K$15="Yes",'Data Tables'!W17,'Data Tables'!X17),IF($K$14="850-900",IF($K$15="Yes",'Data Tables'!W17,'Data Tables'!X17),IF($K$14="900-950",IF($K$15="Yes",'Data Tables'!AC17,'Data Tables'!AD17),IF($K$14="950-1000",IF($K$15="Yes",'Data Tables'!AC17,'Data Tables'!AD17),IF($K$14="1000-1100",IF($K$15="Yes",'Data Tables'!AC17,'Data Tables'!AD17),IF($K$14="1100-1200",IF($K$15="Yes",'Data Tables'!AC17,'Data Tables'!AD17),IF($K$15="Yes",'Data Tables'!AI17,'Data Tables'!AJ17))))))))))),IF($K$14="650-675",IF($K$15="Yes",'Data Tables'!S17,'Data Tables'!T17),IF($K$14="675-700",IF($K$15="Yes",'Data Tables'!S17,'Data Tables'!T17),IF($K$14="700-750",IF($K$15="Yes",'Data Tables'!Y17,'Data Tables'!Z17),IF($K$14="750-800",IF($K$15="Yes",'Data Tables'!Y17,'Data Tables'!Z17),IF($K$14="800-850",IF($K$15="Yes",'Data Tables'!Y17,'Data Tables'!Z17),IF($K$14="850-900",IF($K$15="Yes",'Data Tables'!Y17,'Data Tables'!Z17),IF($K$14="900-950",IF($K$15="Yes",'Data Tables'!AE17,'Data Tables'!AF17),IF($K$14="950-1000",IF($K$15="Yes",'Data Tables'!AE17,'Data Tables'!AF17),IF($K$14="1000-1100",IF($K$15="Yes",'Data Tables'!AE17,'Data Tables'!AF17),IF($K$14="1100-1200",IF($K$15="Yes",'Data Tables'!AE17,'Data Tables'!AF17),IF($K$15="Yes",'Data Tables'!AK17,'Data Tables'!AL17))))))))))))))),"")</f>
        <v/>
      </c>
      <c r="X23" s="361" t="str">
        <f>IF(K$12="Brue and Axe",1*(IF($K$13="Freely draining",IF($K$14="650-675",IF($K$15="Yes",'Data Tables'!O29,'Data Tables'!P29),IF($K$14="675-700",IF($K$15="Yes",'Data Tables'!O29,'Data Tables'!P29),IF($K$14="700-750",IF($K$15="Yes",'Data Tables'!U29,'Data Tables'!V29),IF($K$14="750-800",IF($K$15="Yes",'Data Tables'!U29,'Data Tables'!V29),IF($K$14="800-850",IF($K$15="Yes",'Data Tables'!U29,'Data Tables'!V29),IF($K$14="850-900",IF($K$15="Yes",'Data Tables'!U29,'Data Tables'!V29),IF($K$14="900-950",IF($K$15="Yes",'Data Tables'!AA29,'Data Tables'!AB29),IF($K$14="950-1000",IF($K$15="Yes",'Data Tables'!AA29,'Data Tables'!AB29),IF($K$14="1000-1100",IF($K$15="Yes",'Data Tables'!AA29,'Data Tables'!AB29),IF($K$14="1100-1200",IF($K$15="Yes",'Data Tables'!AA29,'Data Tables'!AB29),IF($K$15="Yes",'Data Tables'!AG29,'Data Tables'!AH29))))))))))),IF($K$13="Impermeable - drained for arable",IF($K$14="650-675",IF($K$15="Yes",'Data Tables'!Q29,'Data Tables'!R29),IF($K$14="675-700",IF($K$15="Yes",'Data Tables'!Q29,'Data Tables'!R29),IF($K$14="700-750",IF($K$15="Yes",'Data Tables'!W29,'Data Tables'!X29),IF($K$14="750-800",IF($K$15="Yes",'Data Tables'!W29,'Data Tables'!X29),IF($K$14="800-850",IF($K$15="Yes",'Data Tables'!W29,'Data Tables'!X29),IF($K$14="850-900",IF($K$15="Yes",'Data Tables'!W29,'Data Tables'!X29),IF($K$14="900-950",IF($K$15="Yes",'Data Tables'!AC29,'Data Tables'!AD29),IF($K$14="950-1000",IF($K$15="Yes",'Data Tables'!AC29,'Data Tables'!AD29),IF($K$14="1000-1100",IF($K$15="Yes",'Data Tables'!AC29,'Data Tables'!AD29),IF($K$14="1100-1200",IF($K$15="Yes",'Data Tables'!AC29,'Data Tables'!AD29),IF($K$15="Yes",'Data Tables'!AI29,'Data Tables'!AJ29))))))))))),IF($K$14="650-675",IF($K$15="Yes",'Data Tables'!S29,'Data Tables'!T29),IF($K$14="675-700",IF($K$15="Yes",'Data Tables'!S29,'Data Tables'!T29),IF($K$14="700-750",IF($K$15="Yes",'Data Tables'!Y29,'Data Tables'!Z29),IF($K$14="750-800",IF($K$15="Yes",'Data Tables'!Y29,'Data Tables'!Z29),IF($K$14="800-850",IF($K$15="Yes",'Data Tables'!Y29,'Data Tables'!Z29),IF($K$14="850-900",IF($K$15="Yes",'Data Tables'!Y29,'Data Tables'!Z29),IF($K$14="900-950",IF($K$15="Yes",'Data Tables'!AE29,'Data Tables'!AF29),IF($K$14="950-1000",IF($K$15="Yes",'Data Tables'!AE29,'Data Tables'!AF29),IF($K$14="1000-1100",IF($K$15="Yes",'Data Tables'!AE29,'Data Tables'!AF29),IF($K$14="1100-1200",IF($K$15="Yes",'Data Tables'!AE29,'Data Tables'!AF29),IF($K$15="Yes",'Data Tables'!AK29,'Data Tables'!AL29)))))))))))))),"")</f>
        <v/>
      </c>
      <c r="Y23" s="355"/>
      <c r="Z23" s="354" t="b">
        <f t="shared" si="0"/>
        <v>0</v>
      </c>
      <c r="AA23" s="354" t="b">
        <f t="shared" si="1"/>
        <v>1</v>
      </c>
      <c r="AB23" s="354" t="b">
        <f t="shared" si="2"/>
        <v>1</v>
      </c>
      <c r="AC23" s="93"/>
      <c r="AD23" s="93"/>
      <c r="AE23" s="93"/>
      <c r="AF23" s="93"/>
      <c r="AG23" s="93"/>
      <c r="AH23" s="93"/>
      <c r="AI23" s="93"/>
      <c r="AJ23" s="93"/>
      <c r="AK23" s="93"/>
      <c r="AL23" s="93"/>
      <c r="AM23" s="93"/>
      <c r="AN23" s="93"/>
      <c r="AO23" s="93"/>
      <c r="AQ23" s="93"/>
      <c r="AR23" s="93"/>
      <c r="AS23" s="93"/>
      <c r="AT23" s="93"/>
      <c r="AU23" s="93"/>
      <c r="AV23" s="93"/>
      <c r="AW23" s="93"/>
      <c r="AX23" s="93"/>
      <c r="AY23" s="93"/>
      <c r="AZ23" s="93"/>
      <c r="BA23" s="93"/>
      <c r="BB23" s="93"/>
      <c r="BC23" s="93"/>
    </row>
    <row r="24" spans="2:55" ht="14.45" customHeight="1">
      <c r="B24" s="4"/>
      <c r="C24" s="40"/>
      <c r="D24" s="149"/>
      <c r="E24" s="47"/>
      <c r="F24" s="446" t="s">
        <v>59</v>
      </c>
      <c r="G24" s="446"/>
      <c r="H24" s="446"/>
      <c r="I24" s="446"/>
      <c r="J24" s="446"/>
      <c r="K24" s="349"/>
      <c r="L24" s="161" t="s">
        <v>222</v>
      </c>
      <c r="M24" s="47"/>
      <c r="N24" s="47"/>
      <c r="O24" s="364">
        <f>IF($K$12="Tone",($K24*(IF($K$13="Freely draining",IF($K$14="650-675",IF($K$15="Yes",'Data Tables'!O6,'Data Tables'!P6),IF($K$14="675-700",IF($K$15="Yes",'Data Tables'!O6,'Data Tables'!P6),IF($K$14="700-750",IF($K$15="Yes",'Data Tables'!U6,'Data Tables'!V6),IF($K$14="750-800",IF($K$15="Yes",'Data Tables'!U6,'Data Tables'!V6),IF($K$14="800-850",IF($K$15="Yes",'Data Tables'!U6,'Data Tables'!V6),IF($K$14="850-900",IF($K$15="Yes",'Data Tables'!U6,'Data Tables'!V6),IF($K$14="900-950",IF($K$15="Yes",'Data Tables'!AA6,'Data Tables'!AB6),IF($K$14="950-1000",IF($K$15="Yes",'Data Tables'!AA6,'Data Tables'!AB6),IF($K$14="1000-1100",IF($K$15="Yes",'Data Tables'!AA6,'Data Tables'!AB6),IF($K$14="1100-1200",IF($K$15="Yes",'Data Tables'!AA6,'Data Tables'!AB6),IF($K$15="Yes",'Data Tables'!AG6,'Data Tables'!AH6))))))))))),IF($K$13="Impermeable - drained for arable",IF($K$14="650-675",IF($K$15="Yes",'Data Tables'!Q6,'Data Tables'!R6),IF($K$14="675-700",IF($K$15="Yes",'Data Tables'!Q6,'Data Tables'!R6),IF($K$14="700-750",IF($K$15="Yes",'Data Tables'!W6,'Data Tables'!X6),IF($K$14="750-800",IF($K$15="Yes",'Data Tables'!W6,'Data Tables'!X6),IF($K$14="800-850",IF($K$15="Yes",'Data Tables'!W6,'Data Tables'!X6),IF($K$14="850-900",IF($K$15="Yes",'Data Tables'!W6,'Data Tables'!X6),IF($K$14="900-950",IF($K$15="Yes",'Data Tables'!AC6,'Data Tables'!AD6),IF($K$14="950-1000",IF($K$15="Yes",'Data Tables'!AC6,'Data Tables'!AD6),IF($K$14="1000-1100",IF($K$15="Yes",'Data Tables'!AC6,'Data Tables'!AD6),IF($K$14="1100-1200",IF($K$15="Yes",'Data Tables'!AC6,'Data Tables'!AD6),IF($K$15="Yes",'Data Tables'!AI6,'Data Tables'!AJ6))))))))))),IF($K$14="650-675",IF($K$15="Yes",'Data Tables'!S6,'Data Tables'!T6),IF($K$14="675-700",IF($K$15="Yes",'Data Tables'!S6,'Data Tables'!T6),IF($K$14="700-750",IF($K$15="Yes",'Data Tables'!Y6,'Data Tables'!Z6),IF($K$14="750-800",IF($K$15="Yes",'Data Tables'!Y6,'Data Tables'!Z6),IF($K$14="800-850",IF($K$15="Yes",'Data Tables'!Y6,'Data Tables'!Z6),IF($K$14="850-900",IF($K$15="Yes",'Data Tables'!Y6,'Data Tables'!Z6),IF($K$14="900-950",IF($K$15="Yes",'Data Tables'!AE6,'Data Tables'!AF6),IF($K$14="950-1000",IF($K$15="Yes",'Data Tables'!AE6,'Data Tables'!AF6),IF($K$14="1000-1100",IF($K$15="Yes",'Data Tables'!AE6,'Data Tables'!AF6),IF($K$14="1100-1200",IF($K$15="Yes",'Data Tables'!AE6,'Data Tables'!AF6),IF($K$15="Yes",'Data Tables'!AK6,'Data Tables'!AL6))))))))))))))),"")</f>
        <v>0</v>
      </c>
      <c r="P24" s="364" t="str">
        <f>IF($K$12="Parrett",($K24*(IF($K$13="Freely draining",IF($K$14="650-675",IF($K$15="Yes",'Data Tables'!O18,'Data Tables'!P18),IF($K$14="675-700",IF($K$15="Yes",'Data Tables'!O18,'Data Tables'!P18),IF($K$14="700-750",IF($K$15="Yes",'Data Tables'!U18,'Data Tables'!V18),IF($K$14="750-800",IF($K$15="Yes",'Data Tables'!U18,'Data Tables'!V18),IF($K$14="800-850",IF($K$15="Yes",'Data Tables'!U18,'Data Tables'!V18),IF($K$14="850-900",IF($K$15="Yes",'Data Tables'!U18,'Data Tables'!V18),IF($K$14="900-950",IF($K$15="Yes",'Data Tables'!AA18,'Data Tables'!AB18),IF($K$14="950-1000",IF($K$15="Yes",'Data Tables'!AA18,'Data Tables'!AB18),IF($K$14="1000-1100",IF($K$15="Yes",'Data Tables'!AA18,'Data Tables'!AB18),IF($K$14="1100-1200",IF($K$15="Yes",'Data Tables'!AA18,'Data Tables'!AB18),IF($K$15="Yes",'Data Tables'!AG18,'Data Tables'!AH18))))))))))),IF($K$13="Impermeable - drained for arable",IF($K$14="650-675",IF($K$15="Yes",'Data Tables'!Q18,'Data Tables'!R18),IF($K$14="675-700",IF($K$15="Yes",'Data Tables'!Q18,'Data Tables'!R18),IF($K$14="700-750",IF($K$15="Yes",'Data Tables'!W18,'Data Tables'!X18),IF($K$14="750-800",IF($K$15="Yes",'Data Tables'!W18,'Data Tables'!X18),IF($K$14="800-850",IF($K$15="Yes",'Data Tables'!W18,'Data Tables'!X18),IF($K$14="850-900",IF($K$15="Yes",'Data Tables'!W18,'Data Tables'!X18),IF($K$14="900-950",IF($K$15="Yes",'Data Tables'!AC18,'Data Tables'!AD18),IF($K$14="950-1000",IF($K$15="Yes",'Data Tables'!AC18,'Data Tables'!AD18),IF($K$14="1000-1100",IF($K$15="Yes",'Data Tables'!AC18,'Data Tables'!AD18),IF($K$14="1100-1200",IF($K$15="Yes",'Data Tables'!AC18,'Data Tables'!AD18),IF($K$15="Yes",'Data Tables'!AI18,'Data Tables'!AJ18))))))))))),IF($K$14="650-675",IF($K$15="Yes",'Data Tables'!S18,'Data Tables'!T18),IF($K$14="675-700",IF($K$15="Yes",'Data Tables'!S18,'Data Tables'!T18),IF($K$14="700-750",IF($K$15="Yes",'Data Tables'!Y18,'Data Tables'!Z18),IF($K$14="750-800",IF($K$15="Yes",'Data Tables'!Y18,'Data Tables'!Z18),IF($K$14="800-850",IF($K$15="Yes",'Data Tables'!Y18,'Data Tables'!Z18),IF($K$14="850-900",IF($K$15="Yes",'Data Tables'!Y18,'Data Tables'!Z18),IF($K$14="900-950",IF($K$15="Yes",'Data Tables'!AE18,'Data Tables'!AF18),IF($K$14="950-1000",IF($K$15="Yes",'Data Tables'!AE18,'Data Tables'!AF18),IF($K$14="1000-1100",IF($K$15="Yes",'Data Tables'!AE18,'Data Tables'!AF18),IF($K$14="1100-1200",IF($K$15="Yes",'Data Tables'!AE18,'Data Tables'!AF18),IF($K$15="Yes",'Data Tables'!AK18,'Data Tables'!AL18))))))))))))))),"")</f>
        <v/>
      </c>
      <c r="Q24" s="364" t="str">
        <f>IF(K$12="Brue and Axe",$K24*(IF($K$13="Freely draining",IF($K$14="650-675",IF($K$15="Yes",'Data Tables'!O30,'Data Tables'!P30),IF($K$14="675-700",IF($K$15="Yes",'Data Tables'!O30,'Data Tables'!P30),IF($K$14="700-750",IF($K$15="Yes",'Data Tables'!U30,'Data Tables'!V30),IF($K$14="750-800",IF($K$15="Yes",'Data Tables'!U30,'Data Tables'!V30),IF($K$14="800-850",IF($K$15="Yes",'Data Tables'!U30,'Data Tables'!V30),IF($K$14="850-900",IF($K$15="Yes",'Data Tables'!U30,'Data Tables'!V30),IF($K$14="900-950",IF($K$15="Yes",'Data Tables'!AA30,'Data Tables'!AB30),IF($K$14="950-1000",IF($K$15="Yes",'Data Tables'!AA30,'Data Tables'!AB30),IF($K$14="1000-1100",IF($K$15="Yes",'Data Tables'!AA30,'Data Tables'!AB30),IF($K$14="1100-1200",IF($K$15="Yes",'Data Tables'!AA30,'Data Tables'!AB30),IF($K$15="Yes",'Data Tables'!AG30,'Data Tables'!AH30))))))))))),IF($K$13="Impermeable - drained for arable",IF($K$14="650-675",IF($K$15="Yes",'Data Tables'!Q30,'Data Tables'!R30),IF($K$14="675-700",IF($K$15="Yes",'Data Tables'!Q30,'Data Tables'!R30),IF($K$14="700-750",IF($K$15="Yes",'Data Tables'!W30,'Data Tables'!X30),IF($K$14="750-800",IF($K$15="Yes",'Data Tables'!W30,'Data Tables'!X30),IF($K$14="800-850",IF($K$15="Yes",'Data Tables'!W30,'Data Tables'!X30),IF($K$14="850-900",IF($K$15="Yes",'Data Tables'!W30,'Data Tables'!X30),IF($K$14="900-950",IF($K$15="Yes",'Data Tables'!AC30,'Data Tables'!AD30),IF($K$14="950-1000",IF($K$15="Yes",'Data Tables'!AC30,'Data Tables'!AD30),IF($K$14="1000-1100",IF($K$15="Yes",'Data Tables'!AC30,'Data Tables'!AD30),IF($K$14="1100-1200",IF($K$15="Yes",'Data Tables'!AC30,'Data Tables'!AD30),IF($K$15="Yes",'Data Tables'!AI30,'Data Tables'!AJ30))))))))))),IF($K$14="650-675",IF($K$15="Yes",'Data Tables'!S30,'Data Tables'!T30),IF($K$14="675-700",IF($K$15="Yes",'Data Tables'!S30,'Data Tables'!T30),IF($K$14="700-750",IF($K$15="Yes",'Data Tables'!Y30,'Data Tables'!Z30),IF($K$14="750-800",IF($K$15="Yes",'Data Tables'!Y30,'Data Tables'!Z30),IF($K$14="800-850",IF($K$15="Yes",'Data Tables'!Y30,'Data Tables'!Z30),IF($K$14="850-900",IF($K$15="Yes",'Data Tables'!Y30,'Data Tables'!Z30),IF($K$14="900-950",IF($K$15="Yes",'Data Tables'!AE30,'Data Tables'!AF30),IF($K$14="950-1000",IF($K$15="Yes",'Data Tables'!AE30,'Data Tables'!AF30),IF($K$14="1000-1100",IF($K$15="Yes",'Data Tables'!AE30,'Data Tables'!AF30),IF($K$14="1100-1200",IF($K$15="Yes",'Data Tables'!AE30,'Data Tables'!AF30),IF($K$15="Yes",'Data Tables'!AK30,'Data Tables'!AL30)))))))))))))),"")</f>
        <v/>
      </c>
      <c r="R24" s="200"/>
      <c r="S24" s="47" t="s">
        <v>223</v>
      </c>
      <c r="T24" s="6"/>
      <c r="V24" s="357">
        <f>IF($K$12="Tone",(1*(IF($K$13="Freely draining",IF($K$14="650-675",IF($K$15="Yes",'Data Tables'!O6,'Data Tables'!P6),IF($K$14="675-700",IF($K$15="Yes",'Data Tables'!O6,'Data Tables'!P6),IF($K$14="700-750",IF($K$15="Yes",'Data Tables'!U6,'Data Tables'!V6),IF($K$14="750-800",IF($K$15="Yes",'Data Tables'!U6,'Data Tables'!V6),IF($K$14="800-850",IF($K$15="Yes",'Data Tables'!U6,'Data Tables'!V6),IF($K$14="850-900",IF($K$15="Yes",'Data Tables'!U6,'Data Tables'!V6),IF($K$14="900-950",IF($K$15="Yes",'Data Tables'!AA6,'Data Tables'!AB6),IF($K$14="950-1000",IF($K$15="Yes",'Data Tables'!AA6,'Data Tables'!AB6),IF($K$14="1000-1100",IF($K$15="Yes",'Data Tables'!AA6,'Data Tables'!AB6),IF($K$14="1100-1200",IF($K$15="Yes",'Data Tables'!AA6,'Data Tables'!AB6),IF($K$15="Yes",'Data Tables'!AG6,'Data Tables'!AH6))))))))))),IF($K$13="Impermeable - drained for arable",IF($K$14="650-675",IF($K$15="Yes",'Data Tables'!Q6,'Data Tables'!R6),IF($K$14="675-700",IF($K$15="Yes",'Data Tables'!Q6,'Data Tables'!R6),IF($K$14="700-750",IF($K$15="Yes",'Data Tables'!W6,'Data Tables'!X6),IF($K$14="750-800",IF($K$15="Yes",'Data Tables'!W6,'Data Tables'!X6),IF($K$14="800-850",IF($K$15="Yes",'Data Tables'!W6,'Data Tables'!X6),IF($K$14="850-900",IF($K$15="Yes",'Data Tables'!W6,'Data Tables'!X6),IF($K$14="900-950",IF($K$15="Yes",'Data Tables'!AC6,'Data Tables'!AD6),IF($K$14="950-1000",IF($K$15="Yes",'Data Tables'!AC6,'Data Tables'!AD6),IF($K$14="1000-1100",IF($K$15="Yes",'Data Tables'!AC6,'Data Tables'!AD6),IF($K$14="1100-1200",IF($K$15="Yes",'Data Tables'!AC6,'Data Tables'!AD6),IF($K$15="Yes",'Data Tables'!AI6,'Data Tables'!AJ6))))))))))),IF($K$14="650-675",IF($K$15="Yes",'Data Tables'!S6,'Data Tables'!T6),IF($K$14="675-700",IF($K$15="Yes",'Data Tables'!S6,'Data Tables'!T6),IF($K$14="700-750",IF($K$15="Yes",'Data Tables'!Y6,'Data Tables'!Z6),IF($K$14="750-800",IF($K$15="Yes",'Data Tables'!Y6,'Data Tables'!Z6),IF($K$14="800-850",IF($K$15="Yes",'Data Tables'!Y6,'Data Tables'!Z6),IF($K$14="850-900",IF($K$15="Yes",'Data Tables'!Y6,'Data Tables'!Z6),IF($K$14="900-950",IF($K$15="Yes",'Data Tables'!AE6,'Data Tables'!AF6),IF($K$14="950-1000",IF($K$15="Yes",'Data Tables'!AE6,'Data Tables'!AF6),IF($K$14="1000-1100",IF($K$15="Yes",'Data Tables'!AE6,'Data Tables'!AF6),IF($K$14="1100-1200",IF($K$15="Yes",'Data Tables'!AE6,'Data Tables'!AF6),IF($K$15="Yes",'Data Tables'!AK6,'Data Tables'!AL6))))))))))))))),"")</f>
        <v>0.2</v>
      </c>
      <c r="W24" s="360" t="str">
        <f>IF($K$12="Parrett",(1*(IF($K$13="Freely draining",IF($K$14="650-675",IF($K$15="Yes",'Data Tables'!O18,'Data Tables'!P18),IF($K$14="675-700",IF($K$15="Yes",'Data Tables'!O18,'Data Tables'!P18),IF($K$14="700-750",IF($K$15="Yes",'Data Tables'!U18,'Data Tables'!V18),IF($K$14="750-800",IF($K$15="Yes",'Data Tables'!U18,'Data Tables'!V18),IF($K$14="800-850",IF($K$15="Yes",'Data Tables'!U18,'Data Tables'!V18),IF($K$14="850-900",IF($K$15="Yes",'Data Tables'!U18,'Data Tables'!V18),IF($K$14="900-950",IF($K$15="Yes",'Data Tables'!AA18,'Data Tables'!AB18),IF($K$14="950-1000",IF($K$15="Yes",'Data Tables'!AA18,'Data Tables'!AB18),IF($K$14="1000-1100",IF($K$15="Yes",'Data Tables'!AA18,'Data Tables'!AB18),IF($K$14="1100-1200",IF($K$15="Yes",'Data Tables'!AA18,'Data Tables'!AB18),IF($K$15="Yes",'Data Tables'!AG18,'Data Tables'!AH18))))))))))),IF($K$13="Impermeable - drained for arable",IF($K$14="650-675",IF($K$15="Yes",'Data Tables'!Q18,'Data Tables'!R18),IF($K$14="675-700",IF($K$15="Yes",'Data Tables'!Q18,'Data Tables'!R18),IF($K$14="700-750",IF($K$15="Yes",'Data Tables'!W18,'Data Tables'!X18),IF($K$14="750-800",IF($K$15="Yes",'Data Tables'!W18,'Data Tables'!X18),IF($K$14="800-850",IF($K$15="Yes",'Data Tables'!W18,'Data Tables'!X18),IF($K$14="850-900",IF($K$15="Yes",'Data Tables'!W18,'Data Tables'!X18),IF($K$14="900-950",IF($K$15="Yes",'Data Tables'!AC18,'Data Tables'!AD18),IF($K$14="950-1000",IF($K$15="Yes",'Data Tables'!AC18,'Data Tables'!AD18),IF($K$14="1000-1100",IF($K$15="Yes",'Data Tables'!AC18,'Data Tables'!AD18),IF($K$14="1100-1200",IF($K$15="Yes",'Data Tables'!AC18,'Data Tables'!AD18),IF($K$15="Yes",'Data Tables'!AI18,'Data Tables'!AJ18))))))))))),IF($K$14="650-675",IF($K$15="Yes",'Data Tables'!S18,'Data Tables'!T18),IF($K$14="675-700",IF($K$15="Yes",'Data Tables'!S18,'Data Tables'!T18),IF($K$14="700-750",IF($K$15="Yes",'Data Tables'!Y18,'Data Tables'!Z18),IF($K$14="750-800",IF($K$15="Yes",'Data Tables'!Y18,'Data Tables'!Z18),IF($K$14="800-850",IF($K$15="Yes",'Data Tables'!Y18,'Data Tables'!Z18),IF($K$14="850-900",IF($K$15="Yes",'Data Tables'!Y18,'Data Tables'!Z18),IF($K$14="900-950",IF($K$15="Yes",'Data Tables'!AE18,'Data Tables'!AF18),IF($K$14="950-1000",IF($K$15="Yes",'Data Tables'!AE18,'Data Tables'!AF18),IF($K$14="1000-1100",IF($K$15="Yes",'Data Tables'!AE18,'Data Tables'!AF18),IF($K$14="1100-1200",IF($K$15="Yes",'Data Tables'!AE18,'Data Tables'!AF18),IF($K$15="Yes",'Data Tables'!AK18,'Data Tables'!AL18))))))))))))))),"")</f>
        <v/>
      </c>
      <c r="X24" s="361" t="str">
        <f>IF(K$12="Brue and Axe",1*(IF($K$13="Freely draining",IF($K$14="650-675",IF($K$15="Yes",'Data Tables'!O30,'Data Tables'!P30),IF($K$14="675-700",IF($K$15="Yes",'Data Tables'!O30,'Data Tables'!P30),IF($K$14="700-750",IF($K$15="Yes",'Data Tables'!U30,'Data Tables'!V30),IF($K$14="750-800",IF($K$15="Yes",'Data Tables'!U30,'Data Tables'!V30),IF($K$14="800-850",IF($K$15="Yes",'Data Tables'!U30,'Data Tables'!V30),IF($K$14="850-900",IF($K$15="Yes",'Data Tables'!U30,'Data Tables'!V30),IF($K$14="900-950",IF($K$15="Yes",'Data Tables'!AA30,'Data Tables'!AB30),IF($K$14="950-1000",IF($K$15="Yes",'Data Tables'!AA30,'Data Tables'!AB30),IF($K$14="1000-1100",IF($K$15="Yes",'Data Tables'!AA30,'Data Tables'!AB30),IF($K$14="1100-1200",IF($K$15="Yes",'Data Tables'!AA30,'Data Tables'!AB30),IF($K$15="Yes",'Data Tables'!AG30,'Data Tables'!AH30))))))))))),IF($K$13="Impermeable - drained for arable",IF($K$14="650-675",IF($K$15="Yes",'Data Tables'!Q30,'Data Tables'!R30),IF($K$14="675-700",IF($K$15="Yes",'Data Tables'!Q30,'Data Tables'!R30),IF($K$14="700-750",IF($K$15="Yes",'Data Tables'!W30,'Data Tables'!X30),IF($K$14="750-800",IF($K$15="Yes",'Data Tables'!W30,'Data Tables'!X30),IF($K$14="800-850",IF($K$15="Yes",'Data Tables'!W30,'Data Tables'!X30),IF($K$14="850-900",IF($K$15="Yes",'Data Tables'!W30,'Data Tables'!X30),IF($K$14="900-950",IF($K$15="Yes",'Data Tables'!AC30,'Data Tables'!AD30),IF($K$14="950-1000",IF($K$15="Yes",'Data Tables'!AC30,'Data Tables'!AD30),IF($K$14="1000-1100",IF($K$15="Yes",'Data Tables'!AC30,'Data Tables'!AD30),IF($K$14="1100-1200",IF($K$15="Yes",'Data Tables'!AC30,'Data Tables'!AD30),IF($K$15="Yes",'Data Tables'!AI30,'Data Tables'!AJ30))))))))))),IF($K$14="650-675",IF($K$15="Yes",'Data Tables'!S30,'Data Tables'!T30),IF($K$14="675-700",IF($K$15="Yes",'Data Tables'!S30,'Data Tables'!T30),IF($K$14="700-750",IF($K$15="Yes",'Data Tables'!Y30,'Data Tables'!Z30),IF($K$14="750-800",IF($K$15="Yes",'Data Tables'!Y30,'Data Tables'!Z30),IF($K$14="800-850",IF($K$15="Yes",'Data Tables'!Y30,'Data Tables'!Z30),IF($K$14="850-900",IF($K$15="Yes",'Data Tables'!Y30,'Data Tables'!Z30),IF($K$14="900-950",IF($K$15="Yes",'Data Tables'!AE30,'Data Tables'!AF30),IF($K$14="950-1000",IF($K$15="Yes",'Data Tables'!AE30,'Data Tables'!AF30),IF($K$14="1000-1100",IF($K$15="Yes",'Data Tables'!AE30,'Data Tables'!AF30),IF($K$14="1100-1200",IF($K$15="Yes",'Data Tables'!AE30,'Data Tables'!AF30),IF($K$15="Yes",'Data Tables'!AK30,'Data Tables'!AL30)))))))))))))),"")</f>
        <v/>
      </c>
      <c r="Y24" s="355"/>
      <c r="Z24" s="354" t="b">
        <f t="shared" si="0"/>
        <v>0</v>
      </c>
      <c r="AA24" s="354" t="b">
        <f t="shared" si="1"/>
        <v>1</v>
      </c>
      <c r="AB24" s="354" t="b">
        <f t="shared" si="2"/>
        <v>1</v>
      </c>
      <c r="AC24" s="93"/>
      <c r="AD24" s="93"/>
      <c r="AE24" s="93"/>
      <c r="AF24" s="93"/>
      <c r="AG24" s="93"/>
      <c r="AH24" s="93"/>
      <c r="AI24" s="93"/>
      <c r="AJ24" s="93"/>
      <c r="AK24" s="93"/>
      <c r="AL24" s="93"/>
      <c r="AM24" s="93"/>
      <c r="AN24" s="93"/>
      <c r="AO24" s="93"/>
      <c r="AQ24" s="93"/>
      <c r="AR24" s="93"/>
      <c r="AS24" s="93"/>
      <c r="AT24" s="93"/>
      <c r="AU24" s="93"/>
      <c r="AV24" s="93"/>
      <c r="AW24" s="93"/>
      <c r="AX24" s="93"/>
      <c r="AY24" s="93"/>
      <c r="AZ24" s="93"/>
      <c r="BA24" s="93"/>
      <c r="BB24" s="93"/>
      <c r="BC24" s="93"/>
    </row>
    <row r="25" spans="2:55" ht="14.45" customHeight="1">
      <c r="B25" s="4"/>
      <c r="C25" s="40"/>
      <c r="D25" s="149"/>
      <c r="E25" s="47"/>
      <c r="F25" s="446" t="s">
        <v>226</v>
      </c>
      <c r="G25" s="446"/>
      <c r="H25" s="446"/>
      <c r="I25" s="446"/>
      <c r="J25" s="446"/>
      <c r="K25" s="349"/>
      <c r="L25" s="161" t="s">
        <v>222</v>
      </c>
      <c r="M25" s="47"/>
      <c r="N25" s="47"/>
      <c r="O25" s="364">
        <f>IF($K$12="Tone",($K25*(IF($K$13="Freely draining",IF($K$14="650-675",IF($K$15="Yes",'Data Tables'!O7,'Data Tables'!P7),IF($K$14="675-700",IF($K$15="Yes",'Data Tables'!O7,'Data Tables'!P7),IF($K$14="700-750",IF($K$15="Yes",'Data Tables'!U7,'Data Tables'!V7),IF($K$14="750-800",IF($K$15="Yes",'Data Tables'!U7,'Data Tables'!V7),IF($K$14="800-850",IF($K$15="Yes",'Data Tables'!U7,'Data Tables'!V7),IF($K$14="850-900",IF($K$15="Yes",'Data Tables'!U7,'Data Tables'!V7),IF($K$14="900-950",IF($K$15="Yes",'Data Tables'!AA7,'Data Tables'!AB7),IF($K$14="950-1000",IF($K$15="Yes",'Data Tables'!AA7,'Data Tables'!AB7),IF($K$14="1000-1100",IF($K$15="Yes",'Data Tables'!AA7,'Data Tables'!AB7),IF($K$14="1100-1200",IF($K$15="Yes",'Data Tables'!AA7,'Data Tables'!AB7),IF($K$15="Yes",'Data Tables'!AG7,'Data Tables'!AH7))))))))))),IF($K$13="Impermeable - drained for arable",IF($K$14="650-675",IF($K$15="Yes",'Data Tables'!Q7,'Data Tables'!R7),IF($K$14="675-700",IF($K$15="Yes",'Data Tables'!Q7,'Data Tables'!R7),IF($K$14="700-750",IF($K$15="Yes",'Data Tables'!W7,'Data Tables'!X7),IF($K$14="750-800",IF($K$15="Yes",'Data Tables'!W7,'Data Tables'!X7),IF($K$14="800-850",IF($K$15="Yes",'Data Tables'!W7,'Data Tables'!X7),IF($K$14="850-900",IF($K$15="Yes",'Data Tables'!W7,'Data Tables'!X7),IF($K$14="900-950",IF($K$15="Yes",'Data Tables'!AC7,'Data Tables'!AD7),IF($K$14="950-1000",IF($K$15="Yes",'Data Tables'!AC7,'Data Tables'!AD7),IF($K$14="1000-1100",IF($K$15="Yes",'Data Tables'!AC7,'Data Tables'!AD7),IF($K$14="1100-1200",IF($K$15="Yes",'Data Tables'!AC7,'Data Tables'!AD7),IF($K$15="Yes",'Data Tables'!AI7,'Data Tables'!AJ7))))))))))),IF($K$14="650-675",IF($K$15="Yes",'Data Tables'!S7,'Data Tables'!T7),IF($K$14="675-700",IF($K$15="Yes",'Data Tables'!S7,'Data Tables'!T7),IF($K$14="700-750",IF($K$15="Yes",'Data Tables'!Y7,'Data Tables'!Z7),IF($K$14="750-800",IF($K$15="Yes",'Data Tables'!Y7,'Data Tables'!Z7),IF($K$14="800-850",IF($K$15="Yes",'Data Tables'!Y7,'Data Tables'!Z7),IF($K$14="850-900",IF($K$15="Yes",'Data Tables'!Y7,'Data Tables'!Z7),IF($K$14="900-950",IF($K$15="Yes",'Data Tables'!AE7,'Data Tables'!AF7),IF($K$14="950-1000",IF($K$15="Yes",'Data Tables'!AE7,'Data Tables'!AF7),IF($K$14="1000-1100",IF($K$15="Yes",'Data Tables'!AE7,'Data Tables'!AF7),IF($K$14="1100-1200",IF($K$15="Yes",'Data Tables'!AE7,'Data Tables'!AF7),IF($K$15="Yes",'Data Tables'!AK7,'Data Tables'!AL7))))))))))))))),"")</f>
        <v>0</v>
      </c>
      <c r="P25" s="364" t="str">
        <f>IF($K$12="Parrett",($K25*(IF($K$13="Freely draining",IF($K$14="650-675",IF($K$15="Yes",'Data Tables'!O19,'Data Tables'!P19),IF($K$14="675-700",IF($K$15="Yes",'Data Tables'!O19,'Data Tables'!P19),IF($K$14="700-750",IF($K$15="Yes",'Data Tables'!U19,'Data Tables'!V19),IF($K$14="750-800",IF($K$15="Yes",'Data Tables'!U19,'Data Tables'!V19),IF($K$14="800-850",IF($K$15="Yes",'Data Tables'!U19,'Data Tables'!V19),IF($K$14="850-900",IF($K$15="Yes",'Data Tables'!U19,'Data Tables'!V19),IF($K$14="900-950",IF($K$15="Yes",'Data Tables'!AA19,'Data Tables'!AB19),IF($K$14="950-1000",IF($K$15="Yes",'Data Tables'!AA19,'Data Tables'!AB19),IF($K$14="1000-1100",IF($K$15="Yes",'Data Tables'!AA19,'Data Tables'!AB19),IF($K$14="1100-1200",IF($K$15="Yes",'Data Tables'!AA19,'Data Tables'!AB19),IF($K$15="Yes",'Data Tables'!AG19,'Data Tables'!AH19))))))))))),IF($K$13="Impermeable - drained for arable",IF($K$14="650-675",IF($K$15="Yes",'Data Tables'!Q19,'Data Tables'!R19),IF($K$14="675-700",IF($K$15="Yes",'Data Tables'!Q19,'Data Tables'!R19),IF($K$14="700-750",IF($K$15="Yes",'Data Tables'!W19,'Data Tables'!X19),IF($K$14="750-800",IF($K$15="Yes",'Data Tables'!W19,'Data Tables'!X19),IF($K$14="800-850",IF($K$15="Yes",'Data Tables'!W19,'Data Tables'!X19),IF($K$14="850-900",IF($K$15="Yes",'Data Tables'!W19,'Data Tables'!X19),IF($K$14="900-950",IF($K$15="Yes",'Data Tables'!AC19,'Data Tables'!AD19),IF($K$14="950-1000",IF($K$15="Yes",'Data Tables'!AC19,'Data Tables'!AD19),IF($K$14="1000-1100",IF($K$15="Yes",'Data Tables'!AC19,'Data Tables'!AD19),IF($K$14="1100-1200",IF($K$15="Yes",'Data Tables'!AC19,'Data Tables'!AD19),IF($K$15="Yes",'Data Tables'!AI19,'Data Tables'!AJ19))))))))))),IF($K$14="650-675",IF($K$15="Yes",'Data Tables'!S19,'Data Tables'!T19),IF($K$14="675-700",IF($K$15="Yes",'Data Tables'!S19,'Data Tables'!T19),IF($K$14="700-750",IF($K$15="Yes",'Data Tables'!Y19,'Data Tables'!Z19),IF($K$14="750-800",IF($K$15="Yes",'Data Tables'!Y19,'Data Tables'!Z19),IF($K$14="800-850",IF($K$15="Yes",'Data Tables'!Y19,'Data Tables'!Z19),IF($K$14="850-900",IF($K$15="Yes",'Data Tables'!Y19,'Data Tables'!Z19),IF($K$14="900-950",IF($K$15="Yes",'Data Tables'!AE19,'Data Tables'!AF19),IF($K$14="950-1000",IF($K$15="Yes",'Data Tables'!AE19,'Data Tables'!AF19),IF($K$14="1000-1100",IF($K$15="Yes",'Data Tables'!AE19,'Data Tables'!AF19),IF($K$14="1100-1200",IF($K$15="Yes",'Data Tables'!AE19,'Data Tables'!AF19),IF($K$15="Yes",'Data Tables'!AK19,'Data Tables'!AL19))))))))))))))),"")</f>
        <v/>
      </c>
      <c r="Q25" s="364" t="str">
        <f>IF(K$12="Brue and Axe",$K25*(IF($K$13="Freely draining",IF($K$14="650-675",IF($K$15="Yes",'Data Tables'!O31,'Data Tables'!P31),IF($K$14="675-700",IF($K$15="Yes",'Data Tables'!O31,'Data Tables'!P31),IF($K$14="700-750",IF($K$15="Yes",'Data Tables'!U31,'Data Tables'!V31),IF($K$14="750-800",IF($K$15="Yes",'Data Tables'!U31,'Data Tables'!V31),IF($K$14="800-850",IF($K$15="Yes",'Data Tables'!U31,'Data Tables'!V31),IF($K$14="850-900",IF($K$15="Yes",'Data Tables'!U31,'Data Tables'!V31),IF($K$14="900-950",IF($K$15="Yes",'Data Tables'!AA31,'Data Tables'!AB31),IF($K$14="950-1000",IF($K$15="Yes",'Data Tables'!AA31,'Data Tables'!AB31),IF($K$14="1000-1100",IF($K$15="Yes",'Data Tables'!AA31,'Data Tables'!AB31),IF($K$14="1100-1200",IF($K$15="Yes",'Data Tables'!AA31,'Data Tables'!AB31),IF($K$15="Yes",'Data Tables'!AG31,'Data Tables'!AH31))))))))))),IF($K$13="Impermeable - drained for arable",IF($K$14="650-675",IF($K$15="Yes",'Data Tables'!Q31,'Data Tables'!R31),IF($K$14="675-700",IF($K$15="Yes",'Data Tables'!Q31,'Data Tables'!R31),IF($K$14="700-750",IF($K$15="Yes",'Data Tables'!W31,'Data Tables'!X31),IF($K$14="750-800",IF($K$15="Yes",'Data Tables'!W31,'Data Tables'!X31),IF($K$14="800-850",IF($K$15="Yes",'Data Tables'!W31,'Data Tables'!X31),IF($K$14="850-900",IF($K$15="Yes",'Data Tables'!W31,'Data Tables'!X31),IF($K$14="900-950",IF($K$15="Yes",'Data Tables'!AC31,'Data Tables'!AD31),IF($K$14="950-1000",IF($K$15="Yes",'Data Tables'!AC31,'Data Tables'!AD31),IF($K$14="1000-1100",IF($K$15="Yes",'Data Tables'!AC31,'Data Tables'!AD31),IF($K$14="1100-1200",IF($K$15="Yes",'Data Tables'!AC31,'Data Tables'!AD31),IF($K$15="Yes",'Data Tables'!AI31,'Data Tables'!AJ31))))))))))),IF($K$14="650-675",IF($K$15="Yes",'Data Tables'!S31,'Data Tables'!T31),IF($K$14="675-700",IF($K$15="Yes",'Data Tables'!S31,'Data Tables'!T31),IF($K$14="700-750",IF($K$15="Yes",'Data Tables'!Y31,'Data Tables'!Z31),IF($K$14="750-800",IF($K$15="Yes",'Data Tables'!Y31,'Data Tables'!Z31),IF($K$14="800-850",IF($K$15="Yes",'Data Tables'!Y31,'Data Tables'!Z31),IF($K$14="850-900",IF($K$15="Yes",'Data Tables'!Y31,'Data Tables'!Z31),IF($K$14="900-950",IF($K$15="Yes",'Data Tables'!AE31,'Data Tables'!AF31),IF($K$14="950-1000",IF($K$15="Yes",'Data Tables'!AE31,'Data Tables'!AF31),IF($K$14="1000-1100",IF($K$15="Yes",'Data Tables'!AE31,'Data Tables'!AF31),IF($K$14="1100-1200",IF($K$15="Yes",'Data Tables'!AE31,'Data Tables'!AF31),IF($K$15="Yes",'Data Tables'!AK31,'Data Tables'!AL31)))))))))))))),"")</f>
        <v/>
      </c>
      <c r="R25" s="200"/>
      <c r="S25" s="47" t="s">
        <v>223</v>
      </c>
      <c r="T25" s="6"/>
      <c r="V25" s="357">
        <f>IF($K$12="Tone",(1*(IF($K$13="Freely draining",IF($K$14="650-675",IF($K$15="Yes",'Data Tables'!O7,'Data Tables'!P7),IF($K$14="675-700",IF($K$15="Yes",'Data Tables'!O7,'Data Tables'!P7),IF($K$14="700-750",IF($K$15="Yes",'Data Tables'!U7,'Data Tables'!V7),IF($K$14="750-800",IF($K$15="Yes",'Data Tables'!U7,'Data Tables'!V7),IF($K$14="800-850",IF($K$15="Yes",'Data Tables'!U7,'Data Tables'!V7),IF($K$14="850-900",IF($K$15="Yes",'Data Tables'!U7,'Data Tables'!V7),IF($K$14="900-950",IF($K$15="Yes",'Data Tables'!AA7,'Data Tables'!AB7),IF($K$14="950-1000",IF($K$15="Yes",'Data Tables'!AA7,'Data Tables'!AB7),IF($K$14="1000-1100",IF($K$15="Yes",'Data Tables'!AA7,'Data Tables'!AB7),IF($K$14="1100-1200",IF($K$15="Yes",'Data Tables'!AA7,'Data Tables'!AB7),IF($K$15="Yes",'Data Tables'!AG7,'Data Tables'!AH7))))))))))),IF($K$13="Impermeable - drained for arable",IF($K$14="650-675",IF($K$15="Yes",'Data Tables'!Q7,'Data Tables'!R7),IF($K$14="675-700",IF($K$15="Yes",'Data Tables'!Q7,'Data Tables'!R7),IF($K$14="700-750",IF($K$15="Yes",'Data Tables'!W7,'Data Tables'!X7),IF($K$14="750-800",IF($K$15="Yes",'Data Tables'!W7,'Data Tables'!X7),IF($K$14="800-850",IF($K$15="Yes",'Data Tables'!W7,'Data Tables'!X7),IF($K$14="850-900",IF($K$15="Yes",'Data Tables'!W7,'Data Tables'!X7),IF($K$14="900-950",IF($K$15="Yes",'Data Tables'!AC7,'Data Tables'!AD7),IF($K$14="950-1000",IF($K$15="Yes",'Data Tables'!AC7,'Data Tables'!AD7),IF($K$14="1000-1100",IF($K$15="Yes",'Data Tables'!AC7,'Data Tables'!AD7),IF($K$14="1100-1200",IF($K$15="Yes",'Data Tables'!AC7,'Data Tables'!AD7),IF($K$15="Yes",'Data Tables'!AI7,'Data Tables'!AJ7))))))))))),IF($K$14="650-675",IF($K$15="Yes",'Data Tables'!S7,'Data Tables'!T7),IF($K$14="675-700",IF($K$15="Yes",'Data Tables'!S7,'Data Tables'!T7),IF($K$14="700-750",IF($K$15="Yes",'Data Tables'!Y7,'Data Tables'!Z7),IF($K$14="750-800",IF($K$15="Yes",'Data Tables'!Y7,'Data Tables'!Z7),IF($K$14="800-850",IF($K$15="Yes",'Data Tables'!Y7,'Data Tables'!Z7),IF($K$14="850-900",IF($K$15="Yes",'Data Tables'!Y7,'Data Tables'!Z7),IF($K$14="900-950",IF($K$15="Yes",'Data Tables'!AE7,'Data Tables'!AF7),IF($K$14="950-1000",IF($K$15="Yes",'Data Tables'!AE7,'Data Tables'!AF7),IF($K$14="1000-1100",IF($K$15="Yes",'Data Tables'!AE7,'Data Tables'!AF7),IF($K$14="1100-1200",IF($K$15="Yes",'Data Tables'!AE7,'Data Tables'!AF7),IF($K$15="Yes",'Data Tables'!AK7,'Data Tables'!AL7))))))))))))))),"")</f>
        <v>0.26</v>
      </c>
      <c r="W25" s="360" t="str">
        <f>IF($K$12="Parrett",(1*(IF($K$13="Freely draining",IF($K$14="650-675",IF($K$15="Yes",'Data Tables'!O19,'Data Tables'!P19),IF($K$14="675-700",IF($K$15="Yes",'Data Tables'!O19,'Data Tables'!P19),IF($K$14="700-750",IF($K$15="Yes",'Data Tables'!U19,'Data Tables'!V19),IF($K$14="750-800",IF($K$15="Yes",'Data Tables'!U19,'Data Tables'!V19),IF($K$14="800-850",IF($K$15="Yes",'Data Tables'!U19,'Data Tables'!V19),IF($K$14="850-900",IF($K$15="Yes",'Data Tables'!U19,'Data Tables'!V19),IF($K$14="900-950",IF($K$15="Yes",'Data Tables'!AA19,'Data Tables'!AB19),IF($K$14="950-1000",IF($K$15="Yes",'Data Tables'!AA19,'Data Tables'!AB19),IF($K$14="1000-1100",IF($K$15="Yes",'Data Tables'!AA19,'Data Tables'!AB19),IF($K$14="1100-1200",IF($K$15="Yes",'Data Tables'!AA19,'Data Tables'!AB19),IF($K$15="Yes",'Data Tables'!AG19,'Data Tables'!AH19))))))))))),IF($K$13="Impermeable - drained for arable",IF($K$14="650-675",IF($K$15="Yes",'Data Tables'!Q19,'Data Tables'!R19),IF($K$14="675-700",IF($K$15="Yes",'Data Tables'!Q19,'Data Tables'!R19),IF($K$14="700-750",IF($K$15="Yes",'Data Tables'!W19,'Data Tables'!X19),IF($K$14="750-800",IF($K$15="Yes",'Data Tables'!W19,'Data Tables'!X19),IF($K$14="800-850",IF($K$15="Yes",'Data Tables'!W19,'Data Tables'!X19),IF($K$14="850-900",IF($K$15="Yes",'Data Tables'!W19,'Data Tables'!X19),IF($K$14="900-950",IF($K$15="Yes",'Data Tables'!AC19,'Data Tables'!AD19),IF($K$14="950-1000",IF($K$15="Yes",'Data Tables'!AC19,'Data Tables'!AD19),IF($K$14="1000-1100",IF($K$15="Yes",'Data Tables'!AC19,'Data Tables'!AD19),IF($K$14="1100-1200",IF($K$15="Yes",'Data Tables'!AC19,'Data Tables'!AD19),IF($K$15="Yes",'Data Tables'!AI19,'Data Tables'!AJ19))))))))))),IF($K$14="650-675",IF($K$15="Yes",'Data Tables'!S19,'Data Tables'!T19),IF($K$14="675-700",IF($K$15="Yes",'Data Tables'!S19,'Data Tables'!T19),IF($K$14="700-750",IF($K$15="Yes",'Data Tables'!Y19,'Data Tables'!Z19),IF($K$14="750-800",IF($K$15="Yes",'Data Tables'!Y19,'Data Tables'!Z19),IF($K$14="800-850",IF($K$15="Yes",'Data Tables'!Y19,'Data Tables'!Z19),IF($K$14="850-900",IF($K$15="Yes",'Data Tables'!Y19,'Data Tables'!Z19),IF($K$14="900-950",IF($K$15="Yes",'Data Tables'!AE19,'Data Tables'!AF19),IF($K$14="950-1000",IF($K$15="Yes",'Data Tables'!AE19,'Data Tables'!AF19),IF($K$14="1000-1100",IF($K$15="Yes",'Data Tables'!AE19,'Data Tables'!AF19),IF($K$14="1100-1200",IF($K$15="Yes",'Data Tables'!AE19,'Data Tables'!AF19),IF($K$15="Yes",'Data Tables'!AK19,'Data Tables'!AL19))))))))))))))),"")</f>
        <v/>
      </c>
      <c r="X25" s="361" t="str">
        <f>IF(K$12="Brue and Axe",1*(IF($K$13="Freely draining",IF($K$14="650-675",IF($K$15="Yes",'Data Tables'!O31,'Data Tables'!P31),IF($K$14="675-700",IF($K$15="Yes",'Data Tables'!O31,'Data Tables'!P31),IF($K$14="700-750",IF($K$15="Yes",'Data Tables'!U31,'Data Tables'!V31),IF($K$14="750-800",IF($K$15="Yes",'Data Tables'!U31,'Data Tables'!V31),IF($K$14="800-850",IF($K$15="Yes",'Data Tables'!U31,'Data Tables'!V31),IF($K$14="850-900",IF($K$15="Yes",'Data Tables'!U31,'Data Tables'!V31),IF($K$14="900-950",IF($K$15="Yes",'Data Tables'!AA31,'Data Tables'!AB31),IF($K$14="950-1000",IF($K$15="Yes",'Data Tables'!AA31,'Data Tables'!AB31),IF($K$14="1000-1100",IF($K$15="Yes",'Data Tables'!AA31,'Data Tables'!AB31),IF($K$14="1100-1200",IF($K$15="Yes",'Data Tables'!AA31,'Data Tables'!AB31),IF($K$15="Yes",'Data Tables'!AG31,'Data Tables'!AH31))))))))))),IF($K$13="Impermeable - drained for arable",IF($K$14="650-675",IF($K$15="Yes",'Data Tables'!Q31,'Data Tables'!R31),IF($K$14="675-700",IF($K$15="Yes",'Data Tables'!Q31,'Data Tables'!R31),IF($K$14="700-750",IF($K$15="Yes",'Data Tables'!W31,'Data Tables'!X31),IF($K$14="750-800",IF($K$15="Yes",'Data Tables'!W31,'Data Tables'!X31),IF($K$14="800-850",IF($K$15="Yes",'Data Tables'!W31,'Data Tables'!X31),IF($K$14="850-900",IF($K$15="Yes",'Data Tables'!W31,'Data Tables'!X31),IF($K$14="900-950",IF($K$15="Yes",'Data Tables'!AC31,'Data Tables'!AD31),IF($K$14="950-1000",IF($K$15="Yes",'Data Tables'!AC31,'Data Tables'!AD31),IF($K$14="1000-1100",IF($K$15="Yes",'Data Tables'!AC31,'Data Tables'!AD31),IF($K$14="1100-1200",IF($K$15="Yes",'Data Tables'!AC31,'Data Tables'!AD31),IF($K$15="Yes",'Data Tables'!AI31,'Data Tables'!AJ31))))))))))),IF($K$14="650-675",IF($K$15="Yes",'Data Tables'!S31,'Data Tables'!T31),IF($K$14="675-700",IF($K$15="Yes",'Data Tables'!S31,'Data Tables'!T31),IF($K$14="700-750",IF($K$15="Yes",'Data Tables'!Y31,'Data Tables'!Z31),IF($K$14="750-800",IF($K$15="Yes",'Data Tables'!Y31,'Data Tables'!Z31),IF($K$14="800-850",IF($K$15="Yes",'Data Tables'!Y31,'Data Tables'!Z31),IF($K$14="850-900",IF($K$15="Yes",'Data Tables'!Y31,'Data Tables'!Z31),IF($K$14="900-950",IF($K$15="Yes",'Data Tables'!AE31,'Data Tables'!AF31),IF($K$14="950-1000",IF($K$15="Yes",'Data Tables'!AE31,'Data Tables'!AF31),IF($K$14="1000-1100",IF($K$15="Yes",'Data Tables'!AE31,'Data Tables'!AF31),IF($K$14="1100-1200",IF($K$15="Yes",'Data Tables'!AE31,'Data Tables'!AF31),IF($K$15="Yes",'Data Tables'!AK31,'Data Tables'!AL31)))))))))))))),"")</f>
        <v/>
      </c>
      <c r="Y25" s="355"/>
      <c r="Z25" s="354" t="b">
        <f t="shared" si="0"/>
        <v>0</v>
      </c>
      <c r="AA25" s="354" t="b">
        <f t="shared" si="1"/>
        <v>1</v>
      </c>
      <c r="AB25" s="354" t="b">
        <f t="shared" si="2"/>
        <v>1</v>
      </c>
      <c r="AC25" s="93"/>
      <c r="AD25" s="93"/>
      <c r="AE25" s="93"/>
      <c r="AF25" s="93"/>
      <c r="AG25" s="93"/>
      <c r="AH25" s="93"/>
      <c r="AI25" s="93"/>
      <c r="AJ25" s="93"/>
      <c r="AK25" s="93"/>
      <c r="AL25" s="93"/>
      <c r="AM25" s="93"/>
      <c r="AN25" s="93"/>
      <c r="AO25" s="93"/>
      <c r="AQ25" s="93"/>
      <c r="AR25" s="93"/>
      <c r="AS25" s="93"/>
      <c r="AT25" s="93"/>
      <c r="AU25" s="93"/>
      <c r="AV25" s="93"/>
      <c r="AW25" s="93"/>
      <c r="AX25" s="93"/>
      <c r="AY25" s="93"/>
      <c r="AZ25" s="93"/>
      <c r="BA25" s="93"/>
      <c r="BB25" s="93"/>
      <c r="BC25" s="93"/>
    </row>
    <row r="26" spans="2:55" ht="14.45" customHeight="1">
      <c r="B26" s="4"/>
      <c r="C26" s="40"/>
      <c r="D26" s="149"/>
      <c r="E26" s="47"/>
      <c r="F26" s="446" t="s">
        <v>227</v>
      </c>
      <c r="G26" s="446"/>
      <c r="H26" s="446"/>
      <c r="I26" s="446"/>
      <c r="J26" s="446"/>
      <c r="K26" s="349"/>
      <c r="L26" s="161" t="s">
        <v>222</v>
      </c>
      <c r="M26" s="47"/>
      <c r="N26" s="47"/>
      <c r="O26" s="364">
        <f>IF($K$12="Tone",($K26*(IF($K$13="Freely draining",IF($K$14="650-675",IF($K$15="Yes",'Data Tables'!O8,'Data Tables'!P8),IF($K$14="675-700",IF($K$15="Yes",'Data Tables'!O8,'Data Tables'!P8),IF($K$14="700-750",IF($K$15="Yes",'Data Tables'!U8,'Data Tables'!V8),IF($K$14="750-800",IF($K$15="Yes",'Data Tables'!U8,'Data Tables'!V8),IF($K$14="800-850",IF($K$15="Yes",'Data Tables'!U8,'Data Tables'!V8),IF($K$14="850-900",IF($K$15="Yes",'Data Tables'!U8,'Data Tables'!V8),IF($K$14="900-950",IF($K$15="Yes",'Data Tables'!AA8,'Data Tables'!AB8),IF($K$14="950-1000",IF($K$15="Yes",'Data Tables'!AA8,'Data Tables'!AB8),IF($K$14="1000-1100",IF($K$15="Yes",'Data Tables'!AA8,'Data Tables'!AB8),IF($K$14="1100-1200",IF($K$15="Yes",'Data Tables'!AA8,'Data Tables'!AB8),IF($K$15="Yes",'Data Tables'!AG8,'Data Tables'!AH8))))))))))),IF($K$13="Impermeable - drained for arable",IF($K$14="650-675",IF($K$15="Yes",'Data Tables'!Q8,'Data Tables'!R8),IF($K$14="675-700",IF($K$15="Yes",'Data Tables'!Q8,'Data Tables'!R8),IF($K$14="700-750",IF($K$15="Yes",'Data Tables'!W8,'Data Tables'!X8),IF($K$14="750-800",IF($K$15="Yes",'Data Tables'!W8,'Data Tables'!X8),IF($K$14="800-850",IF($K$15="Yes",'Data Tables'!W8,'Data Tables'!X8),IF($K$14="850-900",IF($K$15="Yes",'Data Tables'!W8,'Data Tables'!X8),IF($K$14="900-950",IF($K$15="Yes",'Data Tables'!AC8,'Data Tables'!AD8),IF($K$14="950-1000",IF($K$15="Yes",'Data Tables'!AC8,'Data Tables'!AD8),IF($K$14="1000-1100",IF($K$15="Yes",'Data Tables'!AC8,'Data Tables'!AD8),IF($K$14="1100-1200",IF($K$15="Yes",'Data Tables'!AC8,'Data Tables'!AD8),IF($K$15="Yes",'Data Tables'!AI8,'Data Tables'!AJ8))))))))))),IF($K$14="650-675",IF($K$15="Yes",'Data Tables'!S8,'Data Tables'!T8),IF($K$14="675-700",IF($K$15="Yes",'Data Tables'!S8,'Data Tables'!T8),IF($K$14="700-750",IF($K$15="Yes",'Data Tables'!Y8,'Data Tables'!Z8),IF($K$14="750-800",IF($K$15="Yes",'Data Tables'!Y8,'Data Tables'!Z8),IF($K$14="800-850",IF($K$15="Yes",'Data Tables'!Y8,'Data Tables'!Z8),IF($K$14="850-900",IF($K$15="Yes",'Data Tables'!Y8,'Data Tables'!Z8),IF($K$14="900-950",IF($K$15="Yes",'Data Tables'!AE8,'Data Tables'!AF8),IF($K$14="950-1000",IF($K$15="Yes",'Data Tables'!AE8,'Data Tables'!AF8),IF($K$14="1000-1100",IF($K$15="Yes",'Data Tables'!AE8,'Data Tables'!AF8),IF($K$14="1100-1200",IF($K$15="Yes",'Data Tables'!AE8,'Data Tables'!AF8),IF($K$15="Yes",'Data Tables'!AK8,'Data Tables'!AL8))))))))))))))),"")</f>
        <v>0</v>
      </c>
      <c r="P26" s="364" t="str">
        <f>IF($K$12="Parrett",($K26*(IF($K$13="Freely draining",IF($K$14="650-675",IF($K$15="Yes",'Data Tables'!O20,'Data Tables'!P20),IF($K$14="675-700",IF($K$15="Yes",'Data Tables'!O20,'Data Tables'!P20),IF($K$14="700-750",IF($K$15="Yes",'Data Tables'!U20,'Data Tables'!V20),IF($K$14="750-800",IF($K$15="Yes",'Data Tables'!U20,'Data Tables'!V20),IF($K$14="800-850",IF($K$15="Yes",'Data Tables'!U20,'Data Tables'!V20),IF($K$14="850-900",IF($K$15="Yes",'Data Tables'!U20,'Data Tables'!V20),IF($K$14="900-950",IF($K$15="Yes",'Data Tables'!AA20,'Data Tables'!AB20),IF($K$14="950-1000",IF($K$15="Yes",'Data Tables'!AA20,'Data Tables'!AB20),IF($K$14="1000-1100",IF($K$15="Yes",'Data Tables'!AA20,'Data Tables'!AB20),IF($K$14="1100-1200",IF($K$15="Yes",'Data Tables'!AA20,'Data Tables'!AB20),IF($K$15="Yes",'Data Tables'!AG20,'Data Tables'!AH20))))))))))),IF($K$13="Impermeable - drained for arable",IF($K$14="650-675",IF($K$15="Yes",'Data Tables'!Q20,'Data Tables'!R20),IF($K$14="675-700",IF($K$15="Yes",'Data Tables'!Q20,'Data Tables'!R20),IF($K$14="700-750",IF($K$15="Yes",'Data Tables'!W20,'Data Tables'!X20),IF($K$14="750-800",IF($K$15="Yes",'Data Tables'!W20,'Data Tables'!X20),IF($K$14="800-850",IF($K$15="Yes",'Data Tables'!W20,'Data Tables'!X20),IF($K$14="850-900",IF($K$15="Yes",'Data Tables'!W20,'Data Tables'!X20),IF($K$14="900-950",IF($K$15="Yes",'Data Tables'!AC20,'Data Tables'!AD20),IF($K$14="950-1000",IF($K$15="Yes",'Data Tables'!AC20,'Data Tables'!AD20),IF($K$14="1000-1100",IF($K$15="Yes",'Data Tables'!AC20,'Data Tables'!AD20),IF($K$14="1100-1200",IF($K$15="Yes",'Data Tables'!AC20,'Data Tables'!AD20),IF($K$15="Yes",'Data Tables'!AI20,'Data Tables'!AJ20))))))))))),IF($K$14="650-675",IF($K$15="Yes",'Data Tables'!S20,'Data Tables'!T20),IF($K$14="675-700",IF($K$15="Yes",'Data Tables'!S20,'Data Tables'!T20),IF($K$14="700-750",IF($K$15="Yes",'Data Tables'!Y20,'Data Tables'!Z20),IF($K$14="750-800",IF($K$15="Yes",'Data Tables'!Y20,'Data Tables'!Z20),IF($K$14="800-850",IF($K$15="Yes",'Data Tables'!Y20,'Data Tables'!Z20),IF($K$14="850-900",IF($K$15="Yes",'Data Tables'!Y20,'Data Tables'!Z20),IF($K$14="900-950",IF($K$15="Yes",'Data Tables'!AE20,'Data Tables'!AF20),IF($K$14="950-1000",IF($K$15="Yes",'Data Tables'!AE20,'Data Tables'!AF20),IF($K$14="1000-1100",IF($K$15="Yes",'Data Tables'!AE20,'Data Tables'!AF20),IF($K$14="1100-1200",IF($K$15="Yes",'Data Tables'!AE20,'Data Tables'!AF20),IF($K$15="Yes",'Data Tables'!AK20,'Data Tables'!AL20))))))))))))))),"")</f>
        <v/>
      </c>
      <c r="Q26" s="364" t="str">
        <f>IF(K$12="Brue and Axe",$K26*(IF($K$13="Freely draining",IF($K$14="650-675",IF($K$15="Yes",'Data Tables'!O32,'Data Tables'!P32),IF($K$14="675-700",IF($K$15="Yes",'Data Tables'!O32,'Data Tables'!P32),IF($K$14="700-750",IF($K$15="Yes",'Data Tables'!U32,'Data Tables'!V32),IF($K$14="750-800",IF($K$15="Yes",'Data Tables'!U32,'Data Tables'!V32),IF($K$14="800-850",IF($K$15="Yes",'Data Tables'!U32,'Data Tables'!V32),IF($K$14="850-900",IF($K$15="Yes",'Data Tables'!U32,'Data Tables'!V32),IF($K$14="900-950",IF($K$15="Yes",'Data Tables'!AA32,'Data Tables'!AB32),IF($K$14="950-1000",IF($K$15="Yes",'Data Tables'!AA32,'Data Tables'!AB32),IF($K$14="1000-1100",IF($K$15="Yes",'Data Tables'!AA32,'Data Tables'!AB32),IF($K$14="1100-1200",IF($K$15="Yes",'Data Tables'!AA32,'Data Tables'!AB32),IF($K$15="Yes",'Data Tables'!AG32,'Data Tables'!AH32))))))))))),IF($K$13="Impermeable - drained for arable",IF($K$14="650-675",IF($K$15="Yes",'Data Tables'!Q32,'Data Tables'!R32),IF($K$14="675-700",IF($K$15="Yes",'Data Tables'!Q32,'Data Tables'!R32),IF($K$14="700-750",IF($K$15="Yes",'Data Tables'!W32,'Data Tables'!X32),IF($K$14="750-800",IF($K$15="Yes",'Data Tables'!W32,'Data Tables'!X32),IF($K$14="800-850",IF($K$15="Yes",'Data Tables'!W32,'Data Tables'!X32),IF($K$14="850-900",IF($K$15="Yes",'Data Tables'!W32,'Data Tables'!X32),IF($K$14="900-950",IF($K$15="Yes",'Data Tables'!AC32,'Data Tables'!AD32),IF($K$14="950-1000",IF($K$15="Yes",'Data Tables'!AC32,'Data Tables'!AD32),IF($K$14="1000-1100",IF($K$15="Yes",'Data Tables'!AC32,'Data Tables'!AD32),IF($K$14="1100-1200",IF($K$15="Yes",'Data Tables'!AC32,'Data Tables'!AD32),IF($K$15="Yes",'Data Tables'!AI32,'Data Tables'!AJ32))))))))))),IF($K$14="650-675",IF($K$15="Yes",'Data Tables'!S32,'Data Tables'!T32),IF($K$14="675-700",IF($K$15="Yes",'Data Tables'!S32,'Data Tables'!T32),IF($K$14="700-750",IF($K$15="Yes",'Data Tables'!Y32,'Data Tables'!Z32),IF($K$14="750-800",IF($K$15="Yes",'Data Tables'!Y32,'Data Tables'!Z32),IF($K$14="800-850",IF($K$15="Yes",'Data Tables'!Y32,'Data Tables'!Z32),IF($K$14="850-900",IF($K$15="Yes",'Data Tables'!Y32,'Data Tables'!Z32),IF($K$14="900-950",IF($K$15="Yes",'Data Tables'!AE32,'Data Tables'!AF32),IF($K$14="950-1000",IF($K$15="Yes",'Data Tables'!AE32,'Data Tables'!AF32),IF($K$14="1000-1100",IF($K$15="Yes",'Data Tables'!AE32,'Data Tables'!AF32),IF($K$14="1100-1200",IF($K$15="Yes",'Data Tables'!AE32,'Data Tables'!AF32),IF($K$15="Yes",'Data Tables'!AK32,'Data Tables'!AL32)))))))))))))),"")</f>
        <v/>
      </c>
      <c r="R26" s="200"/>
      <c r="S26" s="47" t="s">
        <v>223</v>
      </c>
      <c r="T26" s="6"/>
      <c r="V26" s="357">
        <f>IF($K$12="Tone",(1*(IF($K$13="Freely draining",IF($K$14="650-675",IF($K$15="Yes",'Data Tables'!O8,'Data Tables'!P8),IF($K$14="675-700",IF($K$15="Yes",'Data Tables'!O8,'Data Tables'!P8),IF($K$14="700-750",IF($K$15="Yes",'Data Tables'!U8,'Data Tables'!V8),IF($K$14="750-800",IF($K$15="Yes",'Data Tables'!U8,'Data Tables'!V8),IF($K$14="800-850",IF($K$15="Yes",'Data Tables'!U8,'Data Tables'!V8),IF($K$14="850-900",IF($K$15="Yes",'Data Tables'!U8,'Data Tables'!V8),IF($K$14="900-950",IF($K$15="Yes",'Data Tables'!AA8,'Data Tables'!AB8),IF($K$14="950-1000",IF($K$15="Yes",'Data Tables'!AA8,'Data Tables'!AB8),IF($K$14="1000-1100",IF($K$15="Yes",'Data Tables'!AA8,'Data Tables'!AB8),IF($K$14="1100-1200",IF($K$15="Yes",'Data Tables'!AA8,'Data Tables'!AB8),IF($K$15="Yes",'Data Tables'!AG8,'Data Tables'!AH8))))))))))),IF($K$13="Impermeable - drained for arable",IF($K$14="650-675",IF($K$15="Yes",'Data Tables'!Q8,'Data Tables'!R8),IF($K$14="675-700",IF($K$15="Yes",'Data Tables'!Q8,'Data Tables'!R8),IF($K$14="700-750",IF($K$15="Yes",'Data Tables'!W8,'Data Tables'!X8),IF($K$14="750-800",IF($K$15="Yes",'Data Tables'!W8,'Data Tables'!X8),IF($K$14="800-850",IF($K$15="Yes",'Data Tables'!W8,'Data Tables'!X8),IF($K$14="850-900",IF($K$15="Yes",'Data Tables'!W8,'Data Tables'!X8),IF($K$14="900-950",IF($K$15="Yes",'Data Tables'!AC8,'Data Tables'!AD8),IF($K$14="950-1000",IF($K$15="Yes",'Data Tables'!AC8,'Data Tables'!AD8),IF($K$14="1000-1100",IF($K$15="Yes",'Data Tables'!AC8,'Data Tables'!AD8),IF($K$14="1100-1200",IF($K$15="Yes",'Data Tables'!AC8,'Data Tables'!AD8),IF($K$15="Yes",'Data Tables'!AI8,'Data Tables'!AJ8))))))))))),IF($K$14="650-675",IF($K$15="Yes",'Data Tables'!S8,'Data Tables'!T8),IF($K$14="675-700",IF($K$15="Yes",'Data Tables'!S8,'Data Tables'!T8),IF($K$14="700-750",IF($K$15="Yes",'Data Tables'!Y8,'Data Tables'!Z8),IF($K$14="750-800",IF($K$15="Yes",'Data Tables'!Y8,'Data Tables'!Z8),IF($K$14="800-850",IF($K$15="Yes",'Data Tables'!Y8,'Data Tables'!Z8),IF($K$14="850-900",IF($K$15="Yes",'Data Tables'!Y8,'Data Tables'!Z8),IF($K$14="900-950",IF($K$15="Yes",'Data Tables'!AE8,'Data Tables'!AF8),IF($K$14="950-1000",IF($K$15="Yes",'Data Tables'!AE8,'Data Tables'!AF8),IF($K$14="1000-1100",IF($K$15="Yes",'Data Tables'!AE8,'Data Tables'!AF8),IF($K$14="1100-1200",IF($K$15="Yes",'Data Tables'!AE8,'Data Tables'!AF8),IF($K$15="Yes",'Data Tables'!AK8,'Data Tables'!AL8))))))))))))))),"")</f>
        <v>0.37</v>
      </c>
      <c r="W26" s="360" t="str">
        <f>IF($K$12="Parrett",(1*(IF($K$13="Freely draining",IF($K$14="650-675",IF($K$15="Yes",'Data Tables'!O20,'Data Tables'!P20),IF($K$14="675-700",IF($K$15="Yes",'Data Tables'!O20,'Data Tables'!P20),IF($K$14="700-750",IF($K$15="Yes",'Data Tables'!U20,'Data Tables'!V20),IF($K$14="750-800",IF($K$15="Yes",'Data Tables'!U20,'Data Tables'!V20),IF($K$14="800-850",IF($K$15="Yes",'Data Tables'!U20,'Data Tables'!V20),IF($K$14="850-900",IF($K$15="Yes",'Data Tables'!U20,'Data Tables'!V20),IF($K$14="900-950",IF($K$15="Yes",'Data Tables'!AA20,'Data Tables'!AB20),IF($K$14="950-1000",IF($K$15="Yes",'Data Tables'!AA20,'Data Tables'!AB20),IF($K$14="1000-1100",IF($K$15="Yes",'Data Tables'!AA20,'Data Tables'!AB20),IF($K$14="1100-1200",IF($K$15="Yes",'Data Tables'!AA20,'Data Tables'!AB20),IF($K$15="Yes",'Data Tables'!AG20,'Data Tables'!AH20))))))))))),IF($K$13="Impermeable - drained for arable",IF($K$14="650-675",IF($K$15="Yes",'Data Tables'!Q20,'Data Tables'!R20),IF($K$14="675-700",IF($K$15="Yes",'Data Tables'!Q20,'Data Tables'!R20),IF($K$14="700-750",IF($K$15="Yes",'Data Tables'!W20,'Data Tables'!X20),IF($K$14="750-800",IF($K$15="Yes",'Data Tables'!W20,'Data Tables'!X20),IF($K$14="800-850",IF($K$15="Yes",'Data Tables'!W20,'Data Tables'!X20),IF($K$14="850-900",IF($K$15="Yes",'Data Tables'!W20,'Data Tables'!X20),IF($K$14="900-950",IF($K$15="Yes",'Data Tables'!AC20,'Data Tables'!AD20),IF($K$14="950-1000",IF($K$15="Yes",'Data Tables'!AC20,'Data Tables'!AD20),IF($K$14="1000-1100",IF($K$15="Yes",'Data Tables'!AC20,'Data Tables'!AD20),IF($K$14="1100-1200",IF($K$15="Yes",'Data Tables'!AC20,'Data Tables'!AD20),IF($K$15="Yes",'Data Tables'!AI20,'Data Tables'!AJ20))))))))))),IF($K$14="650-675",IF($K$15="Yes",'Data Tables'!S20,'Data Tables'!T20),IF($K$14="675-700",IF($K$15="Yes",'Data Tables'!S20,'Data Tables'!T20),IF($K$14="700-750",IF($K$15="Yes",'Data Tables'!Y20,'Data Tables'!Z20),IF($K$14="750-800",IF($K$15="Yes",'Data Tables'!Y20,'Data Tables'!Z20),IF($K$14="800-850",IF($K$15="Yes",'Data Tables'!Y20,'Data Tables'!Z20),IF($K$14="850-900",IF($K$15="Yes",'Data Tables'!Y20,'Data Tables'!Z20),IF($K$14="900-950",IF($K$15="Yes",'Data Tables'!AE20,'Data Tables'!AF20),IF($K$14="950-1000",IF($K$15="Yes",'Data Tables'!AE20,'Data Tables'!AF20),IF($K$14="1000-1100",IF($K$15="Yes",'Data Tables'!AE20,'Data Tables'!AF20),IF($K$14="1100-1200",IF($K$15="Yes",'Data Tables'!AE20,'Data Tables'!AF20),IF($K$15="Yes",'Data Tables'!AK20,'Data Tables'!AL20))))))))))))))),"")</f>
        <v/>
      </c>
      <c r="X26" s="361" t="str">
        <f>IF(K$12="Brue and Axe",1*(IF($K$13="Freely draining",IF($K$14="650-675",IF($K$15="Yes",'Data Tables'!O32,'Data Tables'!P32),IF($K$14="675-700",IF($K$15="Yes",'Data Tables'!O32,'Data Tables'!P32),IF($K$14="700-750",IF($K$15="Yes",'Data Tables'!U32,'Data Tables'!V32),IF($K$14="750-800",IF($K$15="Yes",'Data Tables'!U32,'Data Tables'!V32),IF($K$14="800-850",IF($K$15="Yes",'Data Tables'!U32,'Data Tables'!V32),IF($K$14="850-900",IF($K$15="Yes",'Data Tables'!U32,'Data Tables'!V32),IF($K$14="900-950",IF($K$15="Yes",'Data Tables'!AA32,'Data Tables'!AB32),IF($K$14="950-1000",IF($K$15="Yes",'Data Tables'!AA32,'Data Tables'!AB32),IF($K$14="1000-1100",IF($K$15="Yes",'Data Tables'!AA32,'Data Tables'!AB32),IF($K$14="1100-1200",IF($K$15="Yes",'Data Tables'!AA32,'Data Tables'!AB32),IF($K$15="Yes",'Data Tables'!AG32,'Data Tables'!AH32))))))))))),IF($K$13="Impermeable - drained for arable",IF($K$14="650-675",IF($K$15="Yes",'Data Tables'!Q32,'Data Tables'!R32),IF($K$14="675-700",IF($K$15="Yes",'Data Tables'!Q32,'Data Tables'!R32),IF($K$14="700-750",IF($K$15="Yes",'Data Tables'!W32,'Data Tables'!X32),IF($K$14="750-800",IF($K$15="Yes",'Data Tables'!W32,'Data Tables'!X32),IF($K$14="800-850",IF($K$15="Yes",'Data Tables'!W32,'Data Tables'!X32),IF($K$14="850-900",IF($K$15="Yes",'Data Tables'!W32,'Data Tables'!X32),IF($K$14="900-950",IF($K$15="Yes",'Data Tables'!AC32,'Data Tables'!AD32),IF($K$14="950-1000",IF($K$15="Yes",'Data Tables'!AC32,'Data Tables'!AD32),IF($K$14="1000-1100",IF($K$15="Yes",'Data Tables'!AC32,'Data Tables'!AD32),IF($K$14="1100-1200",IF($K$15="Yes",'Data Tables'!AC32,'Data Tables'!AD32),IF($K$15="Yes",'Data Tables'!AI32,'Data Tables'!AJ32))))))))))),IF($K$14="650-675",IF($K$15="Yes",'Data Tables'!S32,'Data Tables'!T32),IF($K$14="675-700",IF($K$15="Yes",'Data Tables'!S32,'Data Tables'!T32),IF($K$14="700-750",IF($K$15="Yes",'Data Tables'!Y32,'Data Tables'!Z32),IF($K$14="750-800",IF($K$15="Yes",'Data Tables'!Y32,'Data Tables'!Z32),IF($K$14="800-850",IF($K$15="Yes",'Data Tables'!Y32,'Data Tables'!Z32),IF($K$14="850-900",IF($K$15="Yes",'Data Tables'!Y32,'Data Tables'!Z32),IF($K$14="900-950",IF($K$15="Yes",'Data Tables'!AE32,'Data Tables'!AF32),IF($K$14="950-1000",IF($K$15="Yes",'Data Tables'!AE32,'Data Tables'!AF32),IF($K$14="1000-1100",IF($K$15="Yes",'Data Tables'!AE32,'Data Tables'!AF32),IF($K$14="1100-1200",IF($K$15="Yes",'Data Tables'!AE32,'Data Tables'!AF32),IF($K$15="Yes",'Data Tables'!AK32,'Data Tables'!AL32)))))))))))))),"")</f>
        <v/>
      </c>
      <c r="Y26" s="355"/>
      <c r="Z26" s="354" t="b">
        <f t="shared" si="0"/>
        <v>0</v>
      </c>
      <c r="AA26" s="354" t="b">
        <f t="shared" si="1"/>
        <v>1</v>
      </c>
      <c r="AB26" s="354" t="b">
        <f t="shared" si="2"/>
        <v>1</v>
      </c>
      <c r="AC26" s="93"/>
      <c r="AD26" s="93"/>
      <c r="AE26" s="93"/>
      <c r="AF26" s="93"/>
      <c r="AG26" s="93"/>
      <c r="AH26" s="93"/>
      <c r="AI26" s="93"/>
      <c r="AJ26" s="93"/>
      <c r="AK26" s="93"/>
      <c r="AL26" s="93"/>
      <c r="AM26" s="93"/>
      <c r="AN26" s="93"/>
      <c r="AO26" s="93"/>
      <c r="AQ26" s="93"/>
      <c r="AR26" s="93"/>
      <c r="AS26" s="93"/>
      <c r="AT26" s="93"/>
      <c r="AU26" s="93"/>
      <c r="AV26" s="93"/>
      <c r="AW26" s="93"/>
      <c r="AX26" s="93"/>
      <c r="AY26" s="93"/>
      <c r="AZ26" s="93"/>
      <c r="BA26" s="93"/>
      <c r="BB26" s="93"/>
      <c r="BC26" s="93"/>
    </row>
    <row r="27" spans="2:55" ht="14.45" customHeight="1">
      <c r="B27" s="4"/>
      <c r="C27" s="40"/>
      <c r="D27" s="149"/>
      <c r="E27" s="47"/>
      <c r="F27" s="446" t="s">
        <v>228</v>
      </c>
      <c r="G27" s="446"/>
      <c r="H27" s="446"/>
      <c r="I27" s="446"/>
      <c r="J27" s="446"/>
      <c r="K27" s="349"/>
      <c r="L27" s="161" t="s">
        <v>222</v>
      </c>
      <c r="M27" s="47"/>
      <c r="N27" s="47"/>
      <c r="O27" s="364">
        <f>IF($K$12="Tone",($K27*(IF($K$13="Freely draining",IF($K$14="650-675",IF($K$15="Yes",'Data Tables'!O9,'Data Tables'!P9),IF($K$14="675-700",IF($K$15="Yes",'Data Tables'!O9,'Data Tables'!P9),IF($K$14="700-750",IF($K$15="Yes",'Data Tables'!U9,'Data Tables'!V9),IF($K$14="750-800",IF($K$15="Yes",'Data Tables'!U9,'Data Tables'!V9),IF($K$14="800-850",IF($K$15="Yes",'Data Tables'!U9,'Data Tables'!V9),IF($K$14="850-900",IF($K$15="Yes",'Data Tables'!U9,'Data Tables'!V9),IF($K$14="900-950",IF($K$15="Yes",'Data Tables'!AA9,'Data Tables'!AB9),IF($K$14="950-1000",IF($K$15="Yes",'Data Tables'!AA9,'Data Tables'!AB9),IF($K$14="1000-1100",IF($K$15="Yes",'Data Tables'!AA9,'Data Tables'!AB9),IF($K$14="1100-1200",IF($K$15="Yes",'Data Tables'!AA9,'Data Tables'!AB9),IF($K$15="Yes",'Data Tables'!AG9,'Data Tables'!AH9))))))))))),IF($K$13="Impermeable - drained for arable",IF($K$14="650-675",IF($K$15="Yes",'Data Tables'!Q9,'Data Tables'!R9),IF($K$14="675-700",IF($K$15="Yes",'Data Tables'!Q9,'Data Tables'!R9),IF($K$14="700-750",IF($K$15="Yes",'Data Tables'!W9,'Data Tables'!X9),IF($K$14="750-800",IF($K$15="Yes",'Data Tables'!W9,'Data Tables'!X9),IF($K$14="800-850",IF($K$15="Yes",'Data Tables'!W9,'Data Tables'!X9),IF($K$14="850-900",IF($K$15="Yes",'Data Tables'!W9,'Data Tables'!X9),IF($K$14="900-950",IF($K$15="Yes",'Data Tables'!AC9,'Data Tables'!AD9),IF($K$14="950-1000",IF($K$15="Yes",'Data Tables'!AC9,'Data Tables'!AD9),IF($K$14="1000-1100",IF($K$15="Yes",'Data Tables'!AC9,'Data Tables'!AD9),IF($K$14="1100-1200",IF($K$15="Yes",'Data Tables'!AC9,'Data Tables'!AD9),IF($K$15="Yes",'Data Tables'!AI9,'Data Tables'!AJ9))))))))))),IF($K$14="650-675",IF($K$15="Yes",'Data Tables'!S9,'Data Tables'!T9),IF($K$14="675-700",IF($K$15="Yes",'Data Tables'!S9,'Data Tables'!T9),IF($K$14="700-750",IF($K$15="Yes",'Data Tables'!Y9,'Data Tables'!Z9),IF($K$14="750-800",IF($K$15="Yes",'Data Tables'!Y9,'Data Tables'!Z9),IF($K$14="800-850",IF($K$15="Yes",'Data Tables'!Y9,'Data Tables'!Z9),IF($K$14="850-900",IF($K$15="Yes",'Data Tables'!Y9,'Data Tables'!Z9),IF($K$14="900-950",IF($K$15="Yes",'Data Tables'!AE9,'Data Tables'!AF9),IF($K$14="950-1000",IF($K$15="Yes",'Data Tables'!AE9,'Data Tables'!AF9),IF($K$14="1000-1100",IF($K$15="Yes",'Data Tables'!AE9,'Data Tables'!AF9),IF($K$14="1100-1200",IF($K$15="Yes",'Data Tables'!AE9,'Data Tables'!AF9),IF($K$15="Yes",'Data Tables'!AK9,'Data Tables'!AL9))))))))))))))),"")</f>
        <v>0</v>
      </c>
      <c r="P27" s="364" t="str">
        <f>IF($K$12="Parrett",($K27*(IF($K$13="Freely draining",IF($K$14="650-675",IF($K$15="Yes",'Data Tables'!O21,'Data Tables'!P21),IF($K$14="675-700",IF($K$15="Yes",'Data Tables'!O21,'Data Tables'!P21),IF($K$14="700-750",IF($K$15="Yes",'Data Tables'!U21,'Data Tables'!V21),IF($K$14="750-800",IF($K$15="Yes",'Data Tables'!U21,'Data Tables'!V21),IF($K$14="800-850",IF($K$15="Yes",'Data Tables'!U21,'Data Tables'!V21),IF($K$14="850-900",IF($K$15="Yes",'Data Tables'!U21,'Data Tables'!V21),IF($K$14="900-950",IF($K$15="Yes",'Data Tables'!AA21,'Data Tables'!AB21),IF($K$14="950-1000",IF($K$15="Yes",'Data Tables'!AA21,'Data Tables'!AB21),IF($K$14="1000-1100",IF($K$15="Yes",'Data Tables'!AA21,'Data Tables'!AB21),IF($K$14="1100-1200",IF($K$15="Yes",'Data Tables'!AA21,'Data Tables'!AB21),IF($K$15="Yes",'Data Tables'!AG21,'Data Tables'!AH21))))))))))),IF($K$13="Impermeable - drained for arable",IF($K$14="650-675",IF($K$15="Yes",'Data Tables'!Q21,'Data Tables'!R21),IF($K$14="675-700",IF($K$15="Yes",'Data Tables'!Q21,'Data Tables'!R21),IF($K$14="700-750",IF($K$15="Yes",'Data Tables'!W21,'Data Tables'!X21),IF($K$14="750-800",IF($K$15="Yes",'Data Tables'!W21,'Data Tables'!X21),IF($K$14="800-850",IF($K$15="Yes",'Data Tables'!W21,'Data Tables'!X21),IF($K$14="850-900",IF($K$15="Yes",'Data Tables'!W21,'Data Tables'!X21),IF($K$14="900-950",IF($K$15="Yes",'Data Tables'!AC21,'Data Tables'!AD21),IF($K$14="950-1000",IF($K$15="Yes",'Data Tables'!AC21,'Data Tables'!AD21),IF($K$14="1000-1100",IF($K$15="Yes",'Data Tables'!AC21,'Data Tables'!AD21),IF($K$14="1100-1200",IF($K$15="Yes",'Data Tables'!AC21,'Data Tables'!AD21),IF($K$15="Yes",'Data Tables'!AI21,'Data Tables'!AJ21))))))))))),IF($K$14="650-675",IF($K$15="Yes",'Data Tables'!S21,'Data Tables'!T21),IF($K$14="675-700",IF($K$15="Yes",'Data Tables'!S21,'Data Tables'!T21),IF($K$14="700-750",IF($K$15="Yes",'Data Tables'!Y21,'Data Tables'!Z21),IF($K$14="750-800",IF($K$15="Yes",'Data Tables'!Y21,'Data Tables'!Z21),IF($K$14="800-850",IF($K$15="Yes",'Data Tables'!Y21,'Data Tables'!Z21),IF($K$14="850-900",IF($K$15="Yes",'Data Tables'!Y21,'Data Tables'!Z21),IF($K$14="900-950",IF($K$15="Yes",'Data Tables'!AE21,'Data Tables'!AF21),IF($K$14="950-1000",IF($K$15="Yes",'Data Tables'!AE21,'Data Tables'!AF21),IF($K$14="1000-1100",IF($K$15="Yes",'Data Tables'!AE21,'Data Tables'!AF21),IF($K$14="1100-1200",IF($K$15="Yes",'Data Tables'!AE21,'Data Tables'!AF21),IF($K$15="Yes",'Data Tables'!AK21,'Data Tables'!AL21))))))))))))))),"")</f>
        <v/>
      </c>
      <c r="Q27" s="364" t="str">
        <f>IF(K$12="Brue and Axe",$K27*(IF($K$13="Freely draining",IF($K$14="650-675",IF($K$15="Yes",'Data Tables'!O33,'Data Tables'!P33),IF($K$14="675-700",IF($K$15="Yes",'Data Tables'!O33,'Data Tables'!P33),IF($K$14="700-750",IF($K$15="Yes",'Data Tables'!U33,'Data Tables'!V33),IF($K$14="750-800",IF($K$15="Yes",'Data Tables'!U33,'Data Tables'!V33),IF($K$14="800-850",IF($K$15="Yes",'Data Tables'!U33,'Data Tables'!V33),IF($K$14="850-900",IF($K$15="Yes",'Data Tables'!U33,'Data Tables'!V33),IF($K$14="900-950",IF($K$15="Yes",'Data Tables'!AA33,'Data Tables'!AB33),IF($K$14="950-1000",IF($K$15="Yes",'Data Tables'!AA33,'Data Tables'!AB33),IF($K$14="1000-1100",IF($K$15="Yes",'Data Tables'!AA33,'Data Tables'!AB33),IF($K$14="1100-1200",IF($K$15="Yes",'Data Tables'!AA33,'Data Tables'!AB33),IF($K$15="Yes",'Data Tables'!AG33,'Data Tables'!AH33))))))))))),IF($K$13="Impermeable - drained for arable",IF($K$14="650-675",IF($K$15="Yes",'Data Tables'!Q33,'Data Tables'!R33),IF($K$14="675-700",IF($K$15="Yes",'Data Tables'!Q33,'Data Tables'!R33),IF($K$14="700-750",IF($K$15="Yes",'Data Tables'!W33,'Data Tables'!X33),IF($K$14="750-800",IF($K$15="Yes",'Data Tables'!W33,'Data Tables'!X33),IF($K$14="800-850",IF($K$15="Yes",'Data Tables'!W33,'Data Tables'!X33),IF($K$14="850-900",IF($K$15="Yes",'Data Tables'!W33,'Data Tables'!X33),IF($K$14="900-950",IF($K$15="Yes",'Data Tables'!AC33,'Data Tables'!AD33),IF($K$14="950-1000",IF($K$15="Yes",'Data Tables'!AC33,'Data Tables'!AD33),IF($K$14="1000-1100",IF($K$15="Yes",'Data Tables'!AC33,'Data Tables'!AD33),IF($K$14="1100-1200",IF($K$15="Yes",'Data Tables'!AC33,'Data Tables'!AD33),IF($K$15="Yes",'Data Tables'!AI33,'Data Tables'!AJ33))))))))))),IF($K$14="650-675",IF($K$15="Yes",'Data Tables'!S33,'Data Tables'!T33),IF($K$14="675-700",IF($K$15="Yes",'Data Tables'!S33,'Data Tables'!T33),IF($K$14="700-750",IF($K$15="Yes",'Data Tables'!Y33,'Data Tables'!Z33),IF($K$14="750-800",IF($K$15="Yes",'Data Tables'!Y33,'Data Tables'!Z33),IF($K$14="800-850",IF($K$15="Yes",'Data Tables'!Y33,'Data Tables'!Z33),IF($K$14="850-900",IF($K$15="Yes",'Data Tables'!Y33,'Data Tables'!Z33),IF($K$14="900-950",IF($K$15="Yes",'Data Tables'!AE33,'Data Tables'!AF33),IF($K$14="950-1000",IF($K$15="Yes",'Data Tables'!AE33,'Data Tables'!AF33),IF($K$14="1000-1100",IF($K$15="Yes",'Data Tables'!AE33,'Data Tables'!AF33),IF($K$14="1100-1200",IF($K$15="Yes",'Data Tables'!AE33,'Data Tables'!AF33),IF($K$15="Yes",'Data Tables'!AK33,'Data Tables'!AL33)))))))))))))),"")</f>
        <v/>
      </c>
      <c r="R27" s="200"/>
      <c r="S27" s="47" t="s">
        <v>223</v>
      </c>
      <c r="T27" s="6"/>
      <c r="V27" s="357">
        <f>IF($K$12="Tone",(1*(IF($K$13="Freely draining",IF($K$14="650-675",IF($K$15="Yes",'Data Tables'!O9,'Data Tables'!P9),IF($K$14="675-700",IF($K$15="Yes",'Data Tables'!O9,'Data Tables'!P9),IF($K$14="700-750",IF($K$15="Yes",'Data Tables'!U9,'Data Tables'!V9),IF($K$14="750-800",IF($K$15="Yes",'Data Tables'!U9,'Data Tables'!V9),IF($K$14="800-850",IF($K$15="Yes",'Data Tables'!U9,'Data Tables'!V9),IF($K$14="850-900",IF($K$15="Yes",'Data Tables'!U9,'Data Tables'!V9),IF($K$14="900-950",IF($K$15="Yes",'Data Tables'!AA9,'Data Tables'!AB9),IF($K$14="950-1000",IF($K$15="Yes",'Data Tables'!AA9,'Data Tables'!AB9),IF($K$14="1000-1100",IF($K$15="Yes",'Data Tables'!AA9,'Data Tables'!AB9),IF($K$14="1100-1200",IF($K$15="Yes",'Data Tables'!AA9,'Data Tables'!AB9),IF($K$15="Yes",'Data Tables'!AG9,'Data Tables'!AH9))))))))))),IF($K$13="Impermeable - drained for arable",IF($K$14="650-675",IF($K$15="Yes",'Data Tables'!Q9,'Data Tables'!R9),IF($K$14="675-700",IF($K$15="Yes",'Data Tables'!Q9,'Data Tables'!R9),IF($K$14="700-750",IF($K$15="Yes",'Data Tables'!W9,'Data Tables'!X9),IF($K$14="750-800",IF($K$15="Yes",'Data Tables'!W9,'Data Tables'!X9),IF($K$14="800-850",IF($K$15="Yes",'Data Tables'!W9,'Data Tables'!X9),IF($K$14="850-900",IF($K$15="Yes",'Data Tables'!W9,'Data Tables'!X9),IF($K$14="900-950",IF($K$15="Yes",'Data Tables'!AC9,'Data Tables'!AD9),IF($K$14="950-1000",IF($K$15="Yes",'Data Tables'!AC9,'Data Tables'!AD9),IF($K$14="1000-1100",IF($K$15="Yes",'Data Tables'!AC9,'Data Tables'!AD9),IF($K$14="1100-1200",IF($K$15="Yes",'Data Tables'!AC9,'Data Tables'!AD9),IF($K$15="Yes",'Data Tables'!AI9,'Data Tables'!AJ9))))))))))),IF($K$14="650-675",IF($K$15="Yes",'Data Tables'!S9,'Data Tables'!T9),IF($K$14="675-700",IF($K$15="Yes",'Data Tables'!S9,'Data Tables'!T9),IF($K$14="700-750",IF($K$15="Yes",'Data Tables'!Y9,'Data Tables'!Z9),IF($K$14="750-800",IF($K$15="Yes",'Data Tables'!Y9,'Data Tables'!Z9),IF($K$14="800-850",IF($K$15="Yes",'Data Tables'!Y9,'Data Tables'!Z9),IF($K$14="850-900",IF($K$15="Yes",'Data Tables'!Y9,'Data Tables'!Z9),IF($K$14="900-950",IF($K$15="Yes",'Data Tables'!AE9,'Data Tables'!AF9),IF($K$14="950-1000",IF($K$15="Yes",'Data Tables'!AE9,'Data Tables'!AF9),IF($K$14="1000-1100",IF($K$15="Yes",'Data Tables'!AE9,'Data Tables'!AF9),IF($K$14="1100-1200",IF($K$15="Yes",'Data Tables'!AE9,'Data Tables'!AF9),IF($K$15="Yes",'Data Tables'!AK9,'Data Tables'!AL9))))))))))))))),"")</f>
        <v>0.27</v>
      </c>
      <c r="W27" s="360" t="str">
        <f>IF($K$12="Parrett",(1*(IF($K$13="Freely draining",IF($K$14="650-675",IF($K$15="Yes",'Data Tables'!O21,'Data Tables'!P21),IF($K$14="675-700",IF($K$15="Yes",'Data Tables'!O21,'Data Tables'!P21),IF($K$14="700-750",IF($K$15="Yes",'Data Tables'!U21,'Data Tables'!V21),IF($K$14="750-800",IF($K$15="Yes",'Data Tables'!U21,'Data Tables'!V21),IF($K$14="800-850",IF($K$15="Yes",'Data Tables'!U21,'Data Tables'!V21),IF($K$14="850-900",IF($K$15="Yes",'Data Tables'!U21,'Data Tables'!V21),IF($K$14="900-950",IF($K$15="Yes",'Data Tables'!AA21,'Data Tables'!AB21),IF($K$14="950-1000",IF($K$15="Yes",'Data Tables'!AA21,'Data Tables'!AB21),IF($K$14="1000-1100",IF($K$15="Yes",'Data Tables'!AA21,'Data Tables'!AB21),IF($K$14="1100-1200",IF($K$15="Yes",'Data Tables'!AA21,'Data Tables'!AB21),IF($K$15="Yes",'Data Tables'!AG21,'Data Tables'!AH21))))))))))),IF($K$13="Impermeable - drained for arable",IF($K$14="650-675",IF($K$15="Yes",'Data Tables'!Q21,'Data Tables'!R21),IF($K$14="675-700",IF($K$15="Yes",'Data Tables'!Q21,'Data Tables'!R21),IF($K$14="700-750",IF($K$15="Yes",'Data Tables'!W21,'Data Tables'!X21),IF($K$14="750-800",IF($K$15="Yes",'Data Tables'!W21,'Data Tables'!X21),IF($K$14="800-850",IF($K$15="Yes",'Data Tables'!W21,'Data Tables'!X21),IF($K$14="850-900",IF($K$15="Yes",'Data Tables'!W21,'Data Tables'!X21),IF($K$14="900-950",IF($K$15="Yes",'Data Tables'!AC21,'Data Tables'!AD21),IF($K$14="950-1000",IF($K$15="Yes",'Data Tables'!AC21,'Data Tables'!AD21),IF($K$14="1000-1100",IF($K$15="Yes",'Data Tables'!AC21,'Data Tables'!AD21),IF($K$14="1100-1200",IF($K$15="Yes",'Data Tables'!AC21,'Data Tables'!AD21),IF($K$15="Yes",'Data Tables'!AI21,'Data Tables'!AJ21))))))))))),IF($K$14="650-675",IF($K$15="Yes",'Data Tables'!S21,'Data Tables'!T21),IF($K$14="675-700",IF($K$15="Yes",'Data Tables'!S21,'Data Tables'!T21),IF($K$14="700-750",IF($K$15="Yes",'Data Tables'!Y21,'Data Tables'!Z21),IF($K$14="750-800",IF($K$15="Yes",'Data Tables'!Y21,'Data Tables'!Z21),IF($K$14="800-850",IF($K$15="Yes",'Data Tables'!Y21,'Data Tables'!Z21),IF($K$14="850-900",IF($K$15="Yes",'Data Tables'!Y21,'Data Tables'!Z21),IF($K$14="900-950",IF($K$15="Yes",'Data Tables'!AE21,'Data Tables'!AF21),IF($K$14="950-1000",IF($K$15="Yes",'Data Tables'!AE21,'Data Tables'!AF21),IF($K$14="1000-1100",IF($K$15="Yes",'Data Tables'!AE21,'Data Tables'!AF21),IF($K$14="1100-1200",IF($K$15="Yes",'Data Tables'!AE21,'Data Tables'!AF21),IF($K$15="Yes",'Data Tables'!AK21,'Data Tables'!AL21))))))))))))))),"")</f>
        <v/>
      </c>
      <c r="X27" s="361" t="str">
        <f>IF(K$12="Brue and Axe",1*(IF($K$13="Freely draining",IF($K$14="650-675",IF($K$15="Yes",'Data Tables'!O33,'Data Tables'!P33),IF($K$14="675-700",IF($K$15="Yes",'Data Tables'!O33,'Data Tables'!P33),IF($K$14="700-750",IF($K$15="Yes",'Data Tables'!U33,'Data Tables'!V33),IF($K$14="750-800",IF($K$15="Yes",'Data Tables'!U33,'Data Tables'!V33),IF($K$14="800-850",IF($K$15="Yes",'Data Tables'!U33,'Data Tables'!V33),IF($K$14="850-900",IF($K$15="Yes",'Data Tables'!U33,'Data Tables'!V33),IF($K$14="900-950",IF($K$15="Yes",'Data Tables'!AA33,'Data Tables'!AB33),IF($K$14="950-1000",IF($K$15="Yes",'Data Tables'!AA33,'Data Tables'!AB33),IF($K$14="1000-1100",IF($K$15="Yes",'Data Tables'!AA33,'Data Tables'!AB33),IF($K$14="1100-1200",IF($K$15="Yes",'Data Tables'!AA33,'Data Tables'!AB33),IF($K$15="Yes",'Data Tables'!AG33,'Data Tables'!AH33))))))))))),IF($K$13="Impermeable - drained for arable",IF($K$14="650-675",IF($K$15="Yes",'Data Tables'!Q33,'Data Tables'!R33),IF($K$14="675-700",IF($K$15="Yes",'Data Tables'!Q33,'Data Tables'!R33),IF($K$14="700-750",IF($K$15="Yes",'Data Tables'!W33,'Data Tables'!X33),IF($K$14="750-800",IF($K$15="Yes",'Data Tables'!W33,'Data Tables'!X33),IF($K$14="800-850",IF($K$15="Yes",'Data Tables'!W33,'Data Tables'!X33),IF($K$14="850-900",IF($K$15="Yes",'Data Tables'!W33,'Data Tables'!X33),IF($K$14="900-950",IF($K$15="Yes",'Data Tables'!AC33,'Data Tables'!AD33),IF($K$14="950-1000",IF($K$15="Yes",'Data Tables'!AC33,'Data Tables'!AD33),IF($K$14="1000-1100",IF($K$15="Yes",'Data Tables'!AC33,'Data Tables'!AD33),IF($K$14="1100-1200",IF($K$15="Yes",'Data Tables'!AC33,'Data Tables'!AD33),IF($K$15="Yes",'Data Tables'!AI33,'Data Tables'!AJ33))))))))))),IF($K$14="650-675",IF($K$15="Yes",'Data Tables'!S33,'Data Tables'!T33),IF($K$14="675-700",IF($K$15="Yes",'Data Tables'!S33,'Data Tables'!T33),IF($K$14="700-750",IF($K$15="Yes",'Data Tables'!Y33,'Data Tables'!Z33),IF($K$14="750-800",IF($K$15="Yes",'Data Tables'!Y33,'Data Tables'!Z33),IF($K$14="800-850",IF($K$15="Yes",'Data Tables'!Y33,'Data Tables'!Z33),IF($K$14="850-900",IF($K$15="Yes",'Data Tables'!Y33,'Data Tables'!Z33),IF($K$14="900-950",IF($K$15="Yes",'Data Tables'!AE33,'Data Tables'!AF33),IF($K$14="950-1000",IF($K$15="Yes",'Data Tables'!AE33,'Data Tables'!AF33),IF($K$14="1000-1100",IF($K$15="Yes",'Data Tables'!AE33,'Data Tables'!AF33),IF($K$14="1100-1200",IF($K$15="Yes",'Data Tables'!AE33,'Data Tables'!AF33),IF($K$15="Yes",'Data Tables'!AK33,'Data Tables'!AL33)))))))))))))),"")</f>
        <v/>
      </c>
      <c r="Y27" s="355"/>
      <c r="Z27" s="354" t="b">
        <f t="shared" si="0"/>
        <v>0</v>
      </c>
      <c r="AA27" s="354" t="b">
        <f t="shared" si="1"/>
        <v>1</v>
      </c>
      <c r="AB27" s="354" t="b">
        <f t="shared" si="2"/>
        <v>1</v>
      </c>
      <c r="AC27" s="93"/>
      <c r="AD27" s="93"/>
      <c r="AE27" s="93"/>
      <c r="AF27" s="93"/>
      <c r="AG27" s="93"/>
      <c r="AH27" s="93"/>
      <c r="AI27" s="93"/>
      <c r="AJ27" s="93"/>
      <c r="AK27" s="93"/>
      <c r="AL27" s="93"/>
      <c r="AM27" s="93"/>
      <c r="AN27" s="93"/>
      <c r="AO27" s="93"/>
      <c r="AQ27" s="93"/>
      <c r="AR27" s="93"/>
      <c r="AS27" s="93"/>
      <c r="AT27" s="93"/>
      <c r="AU27" s="93"/>
      <c r="AV27" s="93"/>
      <c r="AW27" s="93"/>
      <c r="AX27" s="93"/>
      <c r="AY27" s="93"/>
      <c r="AZ27" s="93"/>
      <c r="BA27" s="93"/>
      <c r="BB27" s="93"/>
      <c r="BC27" s="93"/>
    </row>
    <row r="28" spans="2:55" ht="14.45" customHeight="1">
      <c r="B28" s="4"/>
      <c r="C28" s="40"/>
      <c r="D28" s="149"/>
      <c r="E28" s="47"/>
      <c r="F28" s="446" t="s">
        <v>53</v>
      </c>
      <c r="G28" s="446"/>
      <c r="H28" s="446"/>
      <c r="I28" s="446"/>
      <c r="J28" s="446"/>
      <c r="K28" s="349"/>
      <c r="L28" s="161" t="s">
        <v>222</v>
      </c>
      <c r="M28" s="47"/>
      <c r="N28" s="47"/>
      <c r="O28" s="364">
        <f>IF($K$12="Tone",($K28*(IF($K$13="Freely draining",IF($K$14="650-675",IF($K$15="Yes",'Data Tables'!O10,'Data Tables'!P10),IF($K$14="675-700",IF($K$15="Yes",'Data Tables'!O10,'Data Tables'!P10),IF($K$14="700-750",IF($K$15="Yes",'Data Tables'!U10,'Data Tables'!V10),IF($K$14="750-800",IF($K$15="Yes",'Data Tables'!U10,'Data Tables'!V10),IF($K$14="800-850",IF($K$15="Yes",'Data Tables'!U10,'Data Tables'!V10),IF($K$14="850-900",IF($K$15="Yes",'Data Tables'!U10,'Data Tables'!V10),IF($K$14="900-950",IF($K$15="Yes",'Data Tables'!AA10,'Data Tables'!AB10),IF($K$14="950-1000",IF($K$15="Yes",'Data Tables'!AA10,'Data Tables'!AB10),IF($K$14="1000-1100",IF($K$15="Yes",'Data Tables'!AA10,'Data Tables'!AB10),IF($K$14="1100-1200",IF($K$15="Yes",'Data Tables'!AA10,'Data Tables'!AB10),IF($K$15="Yes",'Data Tables'!AG10,'Data Tables'!AH10))))))))))),IF($K$13="Impermeable - drained for arable",IF($K$14="650-675",IF($K$15="Yes",'Data Tables'!Q10,'Data Tables'!R10),IF($K$14="675-700",IF($K$15="Yes",'Data Tables'!Q10,'Data Tables'!R10),IF($K$14="700-750",IF($K$15="Yes",'Data Tables'!W10,'Data Tables'!X10),IF($K$14="750-800",IF($K$15="Yes",'Data Tables'!W10,'Data Tables'!X10),IF($K$14="800-850",IF($K$15="Yes",'Data Tables'!W10,'Data Tables'!X10),IF($K$14="850-900",IF($K$15="Yes",'Data Tables'!W10,'Data Tables'!X10),IF($K$14="900-950",IF($K$15="Yes",'Data Tables'!AC10,'Data Tables'!AD10),IF($K$14="950-1000",IF($K$15="Yes",'Data Tables'!AC10,'Data Tables'!AD10),IF($K$14="1000-1100",IF($K$15="Yes",'Data Tables'!AC10,'Data Tables'!AD10),IF($K$14="1100-1200",IF($K$15="Yes",'Data Tables'!AC10,'Data Tables'!AD10),IF($K$15="Yes",'Data Tables'!AI10,'Data Tables'!AJ10))))))))))),IF($K$14="650-675",IF($K$15="Yes",'Data Tables'!S10,'Data Tables'!T10),IF($K$14="675-700",IF($K$15="Yes",'Data Tables'!S10,'Data Tables'!T10),IF($K$14="700-750",IF($K$15="Yes",'Data Tables'!Y10,'Data Tables'!Z10),IF($K$14="750-800",IF($K$15="Yes",'Data Tables'!Y10,'Data Tables'!Z10),IF($K$14="800-850",IF($K$15="Yes",'Data Tables'!Y10,'Data Tables'!Z10),IF($K$14="850-900",IF($K$15="Yes",'Data Tables'!Y10,'Data Tables'!Z10),IF($K$14="900-950",IF($K$15="Yes",'Data Tables'!AE10,'Data Tables'!AF10),IF($K$14="950-1000",IF($K$15="Yes",'Data Tables'!AE10,'Data Tables'!AF10),IF($K$14="1000-1100",IF($K$15="Yes",'Data Tables'!AE10,'Data Tables'!AF10),IF($K$14="1100-1200",IF($K$15="Yes",'Data Tables'!AE10,'Data Tables'!AF10),IF($K$15="Yes",'Data Tables'!AK10,'Data Tables'!AL10))))))))))))))),"")</f>
        <v>0</v>
      </c>
      <c r="P28" s="364" t="str">
        <f>IF($K$12="Parrett",($K28*(IF($K$13="Freely draining",IF($K$14="650-675",IF($K$15="Yes",'Data Tables'!O22,'Data Tables'!P22),IF($K$14="675-700",IF($K$15="Yes",'Data Tables'!O22,'Data Tables'!P22),IF($K$14="700-750",IF($K$15="Yes",'Data Tables'!U22,'Data Tables'!V22),IF($K$14="750-800",IF($K$15="Yes",'Data Tables'!U22,'Data Tables'!V22),IF($K$14="800-850",IF($K$15="Yes",'Data Tables'!U22,'Data Tables'!V22),IF($K$14="850-900",IF($K$15="Yes",'Data Tables'!U22,'Data Tables'!V22),IF($K$14="900-950",IF($K$15="Yes",'Data Tables'!AA22,'Data Tables'!AB22),IF($K$14="950-1000",IF($K$15="Yes",'Data Tables'!AA22,'Data Tables'!AB22),IF($K$14="1000-1100",IF($K$15="Yes",'Data Tables'!AA22,'Data Tables'!AB22),IF($K$14="1100-1200",IF($K$15="Yes",'Data Tables'!AA22,'Data Tables'!AB22),IF($K$15="Yes",'Data Tables'!AG22,'Data Tables'!AH22))))))))))),IF($K$13="Impermeable - drained for arable",IF($K$14="650-675",IF($K$15="Yes",'Data Tables'!Q22,'Data Tables'!R22),IF($K$14="675-700",IF($K$15="Yes",'Data Tables'!Q22,'Data Tables'!R22),IF($K$14="700-750",IF($K$15="Yes",'Data Tables'!W22,'Data Tables'!X22),IF($K$14="750-800",IF($K$15="Yes",'Data Tables'!W22,'Data Tables'!X22),IF($K$14="800-850",IF($K$15="Yes",'Data Tables'!W22,'Data Tables'!X22),IF($K$14="850-900",IF($K$15="Yes",'Data Tables'!W22,'Data Tables'!X22),IF($K$14="900-950",IF($K$15="Yes",'Data Tables'!AC22,'Data Tables'!AD22),IF($K$14="950-1000",IF($K$15="Yes",'Data Tables'!AC22,'Data Tables'!AD22),IF($K$14="1000-1100",IF($K$15="Yes",'Data Tables'!AC22,'Data Tables'!AD22),IF($K$14="1100-1200",IF($K$15="Yes",'Data Tables'!AC22,'Data Tables'!AD22),IF($K$15="Yes",'Data Tables'!AI22,'Data Tables'!AJ22))))))))))),IF($K$14="650-675",IF($K$15="Yes",'Data Tables'!S22,'Data Tables'!T22),IF($K$14="675-700",IF($K$15="Yes",'Data Tables'!S22,'Data Tables'!T22),IF($K$14="700-750",IF($K$15="Yes",'Data Tables'!Y22,'Data Tables'!Z22),IF($K$14="750-800",IF($K$15="Yes",'Data Tables'!Y22,'Data Tables'!Z22),IF($K$14="800-850",IF($K$15="Yes",'Data Tables'!Y22,'Data Tables'!Z22),IF($K$14="850-900",IF($K$15="Yes",'Data Tables'!Y22,'Data Tables'!Z22),IF($K$14="900-950",IF($K$15="Yes",'Data Tables'!AE22,'Data Tables'!AF22),IF($K$14="950-1000",IF($K$15="Yes",'Data Tables'!AE22,'Data Tables'!AF22),IF($K$14="1000-1100",IF($K$15="Yes",'Data Tables'!AE22,'Data Tables'!AF22),IF($K$14="1100-1200",IF($K$15="Yes",'Data Tables'!AE22,'Data Tables'!AF22),IF($K$15="Yes",'Data Tables'!AK22,'Data Tables'!AL22))))))))))))))),"")</f>
        <v/>
      </c>
      <c r="Q28" s="364" t="str">
        <f>IF(K$12="Brue and Axe",$K28*(IF($K$13="Freely draining",IF($K$14="650-675",IF($K$15="Yes",'Data Tables'!O34,'Data Tables'!P34),IF($K$14="675-700",IF($K$15="Yes",'Data Tables'!O34,'Data Tables'!P34),IF($K$14="700-750",IF($K$15="Yes",'Data Tables'!U34,'Data Tables'!V34),IF($K$14="750-800",IF($K$15="Yes",'Data Tables'!U34,'Data Tables'!V34),IF($K$14="800-850",IF($K$15="Yes",'Data Tables'!U34,'Data Tables'!V34),IF($K$14="850-900",IF($K$15="Yes",'Data Tables'!U34,'Data Tables'!V34),IF($K$14="900-950",IF($K$15="Yes",'Data Tables'!AA34,'Data Tables'!AB34),IF($K$14="950-1000",IF($K$15="Yes",'Data Tables'!AA34,'Data Tables'!AB34),IF($K$14="1000-1100",IF($K$15="Yes",'Data Tables'!AA34,'Data Tables'!AB34),IF($K$14="1100-1200",IF($K$15="Yes",'Data Tables'!AA34,'Data Tables'!AB34),IF($K$15="Yes",'Data Tables'!AG34,'Data Tables'!AH34))))))))))),IF($K$13="Impermeable - drained for arable",IF($K$14="650-675",IF($K$15="Yes",'Data Tables'!Q34,'Data Tables'!R34),IF($K$14="675-700",IF($K$15="Yes",'Data Tables'!Q34,'Data Tables'!R34),IF($K$14="700-750",IF($K$15="Yes",'Data Tables'!W34,'Data Tables'!X34),IF($K$14="750-800",IF($K$15="Yes",'Data Tables'!W34,'Data Tables'!X34),IF($K$14="800-850",IF($K$15="Yes",'Data Tables'!W34,'Data Tables'!X34),IF($K$14="850-900",IF($K$15="Yes",'Data Tables'!W34,'Data Tables'!X34),IF($K$14="900-950",IF($K$15="Yes",'Data Tables'!AC34,'Data Tables'!AD34),IF($K$14="950-1000",IF($K$15="Yes",'Data Tables'!AC34,'Data Tables'!AD34),IF($K$14="1000-1100",IF($K$15="Yes",'Data Tables'!AC34,'Data Tables'!AD34),IF($K$14="1100-1200",IF($K$15="Yes",'Data Tables'!AC34,'Data Tables'!AD34),IF($K$15="Yes",'Data Tables'!AI34,'Data Tables'!AJ34))))))))))),IF($K$14="650-675",IF($K$15="Yes",'Data Tables'!S34,'Data Tables'!T34),IF($K$14="675-700",IF($K$15="Yes",'Data Tables'!S34,'Data Tables'!T34),IF($K$14="700-750",IF($K$15="Yes",'Data Tables'!Y34,'Data Tables'!Z34),IF($K$14="750-800",IF($K$15="Yes",'Data Tables'!Y34,'Data Tables'!Z34),IF($K$14="800-850",IF($K$15="Yes",'Data Tables'!Y34,'Data Tables'!Z34),IF($K$14="850-900",IF($K$15="Yes",'Data Tables'!Y34,'Data Tables'!Z34),IF($K$14="900-950",IF($K$15="Yes",'Data Tables'!AE34,'Data Tables'!AF34),IF($K$14="950-1000",IF($K$15="Yes",'Data Tables'!AE34,'Data Tables'!AF34),IF($K$14="1000-1100",IF($K$15="Yes",'Data Tables'!AE34,'Data Tables'!AF34),IF($K$14="1100-1200",IF($K$15="Yes",'Data Tables'!AE34,'Data Tables'!AF34),IF($K$15="Yes",'Data Tables'!AK34,'Data Tables'!AL34)))))))))))))),"")</f>
        <v/>
      </c>
      <c r="R28" s="200"/>
      <c r="S28" s="47" t="s">
        <v>223</v>
      </c>
      <c r="T28" s="6"/>
      <c r="V28" s="357">
        <f>IF($K$12="Tone",(1*(IF($K$13="Freely draining",IF($K$14="650-675",IF($K$15="Yes",'Data Tables'!O10,'Data Tables'!P10),IF($K$14="675-700",IF($K$15="Yes",'Data Tables'!O10,'Data Tables'!P10),IF($K$14="700-750",IF($K$15="Yes",'Data Tables'!U10,'Data Tables'!V10),IF($K$14="750-800",IF($K$15="Yes",'Data Tables'!U10,'Data Tables'!V10),IF($K$14="800-850",IF($K$15="Yes",'Data Tables'!U10,'Data Tables'!V10),IF($K$14="850-900",IF($K$15="Yes",'Data Tables'!U10,'Data Tables'!V10),IF($K$14="900-950",IF($K$15="Yes",'Data Tables'!AA10,'Data Tables'!AB10),IF($K$14="950-1000",IF($K$15="Yes",'Data Tables'!AA10,'Data Tables'!AB10),IF($K$14="1000-1100",IF($K$15="Yes",'Data Tables'!AA10,'Data Tables'!AB10),IF($K$14="1100-1200",IF($K$15="Yes",'Data Tables'!AA10,'Data Tables'!AB10),IF($K$15="Yes",'Data Tables'!AG10,'Data Tables'!AH10))))))))))),IF($K$13="Impermeable - drained for arable",IF($K$14="650-675",IF($K$15="Yes",'Data Tables'!Q10,'Data Tables'!R10),IF($K$14="675-700",IF($K$15="Yes",'Data Tables'!Q10,'Data Tables'!R10),IF($K$14="700-750",IF($K$15="Yes",'Data Tables'!W10,'Data Tables'!X10),IF($K$14="750-800",IF($K$15="Yes",'Data Tables'!W10,'Data Tables'!X10),IF($K$14="800-850",IF($K$15="Yes",'Data Tables'!W10,'Data Tables'!X10),IF($K$14="850-900",IF($K$15="Yes",'Data Tables'!W10,'Data Tables'!X10),IF($K$14="900-950",IF($K$15="Yes",'Data Tables'!AC10,'Data Tables'!AD10),IF($K$14="950-1000",IF($K$15="Yes",'Data Tables'!AC10,'Data Tables'!AD10),IF($K$14="1000-1100",IF($K$15="Yes",'Data Tables'!AC10,'Data Tables'!AD10),IF($K$14="1100-1200",IF($K$15="Yes",'Data Tables'!AC10,'Data Tables'!AD10),IF($K$15="Yes",'Data Tables'!AI10,'Data Tables'!AJ10))))))))))),IF($K$14="650-675",IF($K$15="Yes",'Data Tables'!S10,'Data Tables'!T10),IF($K$14="675-700",IF($K$15="Yes",'Data Tables'!S10,'Data Tables'!T10),IF($K$14="700-750",IF($K$15="Yes",'Data Tables'!Y10,'Data Tables'!Z10),IF($K$14="750-800",IF($K$15="Yes",'Data Tables'!Y10,'Data Tables'!Z10),IF($K$14="800-850",IF($K$15="Yes",'Data Tables'!Y10,'Data Tables'!Z10),IF($K$14="850-900",IF($K$15="Yes",'Data Tables'!Y10,'Data Tables'!Z10),IF($K$14="900-950",IF($K$15="Yes",'Data Tables'!AE10,'Data Tables'!AF10),IF($K$14="950-1000",IF($K$15="Yes",'Data Tables'!AE10,'Data Tables'!AF10),IF($K$14="1000-1100",IF($K$15="Yes",'Data Tables'!AE10,'Data Tables'!AF10),IF($K$14="1100-1200",IF($K$15="Yes",'Data Tables'!AE10,'Data Tables'!AF10),IF($K$15="Yes",'Data Tables'!AK10,'Data Tables'!AL10))))))))))))))),"")</f>
        <v>0.22</v>
      </c>
      <c r="W28" s="360" t="str">
        <f>IF($K$12="Parrett",(1*(IF($K$13="Freely draining",IF($K$14="650-675",IF($K$15="Yes",'Data Tables'!O22,'Data Tables'!P22),IF($K$14="675-700",IF($K$15="Yes",'Data Tables'!O22,'Data Tables'!P22),IF($K$14="700-750",IF($K$15="Yes",'Data Tables'!U22,'Data Tables'!V22),IF($K$14="750-800",IF($K$15="Yes",'Data Tables'!U22,'Data Tables'!V22),IF($K$14="800-850",IF($K$15="Yes",'Data Tables'!U22,'Data Tables'!V22),IF($K$14="850-900",IF($K$15="Yes",'Data Tables'!U22,'Data Tables'!V22),IF($K$14="900-950",IF($K$15="Yes",'Data Tables'!AA22,'Data Tables'!AB22),IF($K$14="950-1000",IF($K$15="Yes",'Data Tables'!AA22,'Data Tables'!AB22),IF($K$14="1000-1100",IF($K$15="Yes",'Data Tables'!AA22,'Data Tables'!AB22),IF($K$14="1100-1200",IF($K$15="Yes",'Data Tables'!AA22,'Data Tables'!AB22),IF($K$15="Yes",'Data Tables'!AG22,'Data Tables'!AH22))))))))))),IF($K$13="Impermeable - drained for arable",IF($K$14="650-675",IF($K$15="Yes",'Data Tables'!Q22,'Data Tables'!R22),IF($K$14="675-700",IF($K$15="Yes",'Data Tables'!Q22,'Data Tables'!R22),IF($K$14="700-750",IF($K$15="Yes",'Data Tables'!W22,'Data Tables'!X22),IF($K$14="750-800",IF($K$15="Yes",'Data Tables'!W22,'Data Tables'!X22),IF($K$14="800-850",IF($K$15="Yes",'Data Tables'!W22,'Data Tables'!X22),IF($K$14="850-900",IF($K$15="Yes",'Data Tables'!W22,'Data Tables'!X22),IF($K$14="900-950",IF($K$15="Yes",'Data Tables'!AC22,'Data Tables'!AD22),IF($K$14="950-1000",IF($K$15="Yes",'Data Tables'!AC22,'Data Tables'!AD22),IF($K$14="1000-1100",IF($K$15="Yes",'Data Tables'!AC22,'Data Tables'!AD22),IF($K$14="1100-1200",IF($K$15="Yes",'Data Tables'!AC22,'Data Tables'!AD22),IF($K$15="Yes",'Data Tables'!AI22,'Data Tables'!AJ22))))))))))),IF($K$14="650-675",IF($K$15="Yes",'Data Tables'!S22,'Data Tables'!T22),IF($K$14="675-700",IF($K$15="Yes",'Data Tables'!S22,'Data Tables'!T22),IF($K$14="700-750",IF($K$15="Yes",'Data Tables'!Y22,'Data Tables'!Z22),IF($K$14="750-800",IF($K$15="Yes",'Data Tables'!Y22,'Data Tables'!Z22),IF($K$14="800-850",IF($K$15="Yes",'Data Tables'!Y22,'Data Tables'!Z22),IF($K$14="850-900",IF($K$15="Yes",'Data Tables'!Y22,'Data Tables'!Z22),IF($K$14="900-950",IF($K$15="Yes",'Data Tables'!AE22,'Data Tables'!AF22),IF($K$14="950-1000",IF($K$15="Yes",'Data Tables'!AE22,'Data Tables'!AF22),IF($K$14="1000-1100",IF($K$15="Yes",'Data Tables'!AE22,'Data Tables'!AF22),IF($K$14="1100-1200",IF($K$15="Yes",'Data Tables'!AE22,'Data Tables'!AF22),IF($K$15="Yes",'Data Tables'!AK22,'Data Tables'!AL22))))))))))))))),"")</f>
        <v/>
      </c>
      <c r="X28" s="361" t="str">
        <f>IF(K$12="Brue and Axe",1*(IF($K$13="Freely draining",IF($K$14="650-675",IF($K$15="Yes",'Data Tables'!O34,'Data Tables'!P34),IF($K$14="675-700",IF($K$15="Yes",'Data Tables'!O34,'Data Tables'!P34),IF($K$14="700-750",IF($K$15="Yes",'Data Tables'!U34,'Data Tables'!V34),IF($K$14="750-800",IF($K$15="Yes",'Data Tables'!U34,'Data Tables'!V34),IF($K$14="800-850",IF($K$15="Yes",'Data Tables'!U34,'Data Tables'!V34),IF($K$14="850-900",IF($K$15="Yes",'Data Tables'!U34,'Data Tables'!V34),IF($K$14="900-950",IF($K$15="Yes",'Data Tables'!AA34,'Data Tables'!AB34),IF($K$14="950-1000",IF($K$15="Yes",'Data Tables'!AA34,'Data Tables'!AB34),IF($K$14="1000-1100",IF($K$15="Yes",'Data Tables'!AA34,'Data Tables'!AB34),IF($K$14="1100-1200",IF($K$15="Yes",'Data Tables'!AA34,'Data Tables'!AB34),IF($K$15="Yes",'Data Tables'!AG34,'Data Tables'!AH34))))))))))),IF($K$13="Impermeable - drained for arable",IF($K$14="650-675",IF($K$15="Yes",'Data Tables'!Q34,'Data Tables'!R34),IF($K$14="675-700",IF($K$15="Yes",'Data Tables'!Q34,'Data Tables'!R34),IF($K$14="700-750",IF($K$15="Yes",'Data Tables'!W34,'Data Tables'!X34),IF($K$14="750-800",IF($K$15="Yes",'Data Tables'!W34,'Data Tables'!X34),IF($K$14="800-850",IF($K$15="Yes",'Data Tables'!W34,'Data Tables'!X34),IF($K$14="850-900",IF($K$15="Yes",'Data Tables'!W34,'Data Tables'!X34),IF($K$14="900-950",IF($K$15="Yes",'Data Tables'!AC34,'Data Tables'!AD34),IF($K$14="950-1000",IF($K$15="Yes",'Data Tables'!AC34,'Data Tables'!AD34),IF($K$14="1000-1100",IF($K$15="Yes",'Data Tables'!AC34,'Data Tables'!AD34),IF($K$14="1100-1200",IF($K$15="Yes",'Data Tables'!AC34,'Data Tables'!AD34),IF($K$15="Yes",'Data Tables'!AI34,'Data Tables'!AJ34))))))))))),IF($K$14="650-675",IF($K$15="Yes",'Data Tables'!S34,'Data Tables'!T34),IF($K$14="675-700",IF($K$15="Yes",'Data Tables'!S34,'Data Tables'!T34),IF($K$14="700-750",IF($K$15="Yes",'Data Tables'!Y34,'Data Tables'!Z34),IF($K$14="750-800",IF($K$15="Yes",'Data Tables'!Y34,'Data Tables'!Z34),IF($K$14="800-850",IF($K$15="Yes",'Data Tables'!Y34,'Data Tables'!Z34),IF($K$14="850-900",IF($K$15="Yes",'Data Tables'!Y34,'Data Tables'!Z34),IF($K$14="900-950",IF($K$15="Yes",'Data Tables'!AE34,'Data Tables'!AF34),IF($K$14="950-1000",IF($K$15="Yes",'Data Tables'!AE34,'Data Tables'!AF34),IF($K$14="1000-1100",IF($K$15="Yes",'Data Tables'!AE34,'Data Tables'!AF34),IF($K$14="1100-1200",IF($K$15="Yes",'Data Tables'!AE34,'Data Tables'!AF34),IF($K$15="Yes",'Data Tables'!AK34,'Data Tables'!AL34)))))))))))))),"")</f>
        <v/>
      </c>
      <c r="Y28" s="355"/>
      <c r="Z28" s="354" t="b">
        <f t="shared" si="0"/>
        <v>0</v>
      </c>
      <c r="AA28" s="354" t="b">
        <f t="shared" si="1"/>
        <v>1</v>
      </c>
      <c r="AB28" s="354" t="b">
        <f t="shared" si="2"/>
        <v>1</v>
      </c>
      <c r="AC28" s="93"/>
      <c r="AD28" s="93"/>
      <c r="AE28" s="93"/>
      <c r="AF28" s="93"/>
      <c r="AG28" s="93"/>
      <c r="AH28" s="93"/>
      <c r="AI28" s="93"/>
      <c r="AJ28" s="93"/>
      <c r="AK28" s="93"/>
      <c r="AL28" s="93"/>
      <c r="AM28" s="93"/>
      <c r="AN28" s="93"/>
      <c r="AO28" s="93"/>
      <c r="AQ28" s="93"/>
      <c r="AR28" s="93"/>
      <c r="AS28" s="93"/>
      <c r="AT28" s="93"/>
      <c r="AU28" s="93"/>
      <c r="AV28" s="93"/>
      <c r="AW28" s="93"/>
      <c r="AX28" s="93"/>
      <c r="AY28" s="93"/>
      <c r="AZ28" s="93"/>
      <c r="BA28" s="93"/>
      <c r="BB28" s="93"/>
      <c r="BC28" s="93"/>
    </row>
    <row r="29" spans="2:55" ht="14.45" customHeight="1">
      <c r="B29" s="4"/>
      <c r="C29" s="40"/>
      <c r="D29" s="149"/>
      <c r="E29" s="47"/>
      <c r="F29" s="446" t="s">
        <v>51</v>
      </c>
      <c r="G29" s="446"/>
      <c r="H29" s="446"/>
      <c r="I29" s="446"/>
      <c r="J29" s="446"/>
      <c r="K29" s="349"/>
      <c r="L29" s="161" t="s">
        <v>222</v>
      </c>
      <c r="M29" s="47"/>
      <c r="N29" s="47"/>
      <c r="O29" s="364">
        <f>IF($K$12="Tone",($K29*(IF($K$13="Freely draining",IF($K$14="650-675",IF($K$15="Yes",'Data Tables'!O11,'Data Tables'!P11),IF($K$14="675-700",IF($K$15="Yes",'Data Tables'!O11,'Data Tables'!P11),IF($K$14="700-750",IF($K$15="Yes",'Data Tables'!U11,'Data Tables'!V11),IF($K$14="750-800",IF($K$15="Yes",'Data Tables'!U11,'Data Tables'!V11),IF($K$14="800-850",IF($K$15="Yes",'Data Tables'!U11,'Data Tables'!V11),IF($K$14="850-900",IF($K$15="Yes",'Data Tables'!U11,'Data Tables'!V11),IF($K$14="900-950",IF($K$15="Yes",'Data Tables'!AA11,'Data Tables'!AB11),IF($K$14="950-1000",IF($K$15="Yes",'Data Tables'!AA11,'Data Tables'!AB11),IF($K$14="1000-1100",IF($K$15="Yes",'Data Tables'!AA11,'Data Tables'!AB11),IF($K$14="1100-1200",IF($K$15="Yes",'Data Tables'!AA11,'Data Tables'!AB11),IF($K$15="Yes",'Data Tables'!AG11,'Data Tables'!AH11))))))))))),IF($K$13="Impermeable - drained for arable",IF($K$14="650-675",IF($K$15="Yes",'Data Tables'!Q11,'Data Tables'!R11),IF($K$14="675-700",IF($K$15="Yes",'Data Tables'!Q11,'Data Tables'!R11),IF($K$14="700-750",IF($K$15="Yes",'Data Tables'!W11,'Data Tables'!X11),IF($K$14="750-800",IF($K$15="Yes",'Data Tables'!W11,'Data Tables'!X11),IF($K$14="800-850",IF($K$15="Yes",'Data Tables'!W11,'Data Tables'!X11),IF($K$14="850-900",IF($K$15="Yes",'Data Tables'!W11,'Data Tables'!X11),IF($K$14="900-950",IF($K$15="Yes",'Data Tables'!AC11,'Data Tables'!AD11),IF($K$14="950-1000",IF($K$15="Yes",'Data Tables'!AC11,'Data Tables'!AD11),IF($K$14="1000-1100",IF($K$15="Yes",'Data Tables'!AC11,'Data Tables'!AD11),IF($K$14="1100-1200",IF($K$15="Yes",'Data Tables'!AC11,'Data Tables'!AD11),IF($K$15="Yes",'Data Tables'!AI11,'Data Tables'!AJ11))))))))))),IF($K$14="650-675",IF($K$15="Yes",'Data Tables'!S11,'Data Tables'!T11),IF($K$14="675-700",IF($K$15="Yes",'Data Tables'!S11,'Data Tables'!T11),IF($K$14="700-750",IF($K$15="Yes",'Data Tables'!Y11,'Data Tables'!Z11),IF($K$14="750-800",IF($K$15="Yes",'Data Tables'!Y11,'Data Tables'!Z11),IF($K$14="800-850",IF($K$15="Yes",'Data Tables'!Y11,'Data Tables'!Z11),IF($K$14="850-900",IF($K$15="Yes",'Data Tables'!Y11,'Data Tables'!Z11),IF($K$14="900-950",IF($K$15="Yes",'Data Tables'!AE11,'Data Tables'!AF11),IF($K$14="950-1000",IF($K$15="Yes",'Data Tables'!AE11,'Data Tables'!AF11),IF($K$14="1000-1100",IF($K$15="Yes",'Data Tables'!AE11,'Data Tables'!AF11),IF($K$14="1100-1200",IF($K$15="Yes",'Data Tables'!AE11,'Data Tables'!AF11),IF($K$15="Yes",'Data Tables'!AK11,'Data Tables'!AL11))))))))))))))),"")</f>
        <v>0</v>
      </c>
      <c r="P29" s="364" t="str">
        <f>IF($K$12="Parrett",($K29*(IF($K$13="Freely draining",IF($K$14="650-675",IF($K$15="Yes",'Data Tables'!O23,'Data Tables'!P23),IF($K$14="675-700",IF($K$15="Yes",'Data Tables'!O23,'Data Tables'!P23),IF($K$14="700-750",IF($K$15="Yes",'Data Tables'!U23,'Data Tables'!V23),IF($K$14="750-800",IF($K$15="Yes",'Data Tables'!U23,'Data Tables'!V23),IF($K$14="800-850",IF($K$15="Yes",'Data Tables'!U23,'Data Tables'!V23),IF($K$14="850-900",IF($K$15="Yes",'Data Tables'!U23,'Data Tables'!V23),IF($K$14="900-950",IF($K$15="Yes",'Data Tables'!AA23,'Data Tables'!AB23),IF($K$14="950-1000",IF($K$15="Yes",'Data Tables'!AA23,'Data Tables'!AB23),IF($K$14="1000-1100",IF($K$15="Yes",'Data Tables'!AA23,'Data Tables'!AB23),IF($K$14="1100-1200",IF($K$15="Yes",'Data Tables'!AA23,'Data Tables'!AB23),IF($K$15="Yes",'Data Tables'!AG23,'Data Tables'!AH23))))))))))),IF($K$13="Impermeable - drained for arable",IF($K$14="650-675",IF($K$15="Yes",'Data Tables'!Q23,'Data Tables'!R23),IF($K$14="675-700",IF($K$15="Yes",'Data Tables'!Q23,'Data Tables'!R23),IF($K$14="700-750",IF($K$15="Yes",'Data Tables'!W23,'Data Tables'!X23),IF($K$14="750-800",IF($K$15="Yes",'Data Tables'!W23,'Data Tables'!X23),IF($K$14="800-850",IF($K$15="Yes",'Data Tables'!W23,'Data Tables'!X23),IF($K$14="850-900",IF($K$15="Yes",'Data Tables'!W23,'Data Tables'!X23),IF($K$14="900-950",IF($K$15="Yes",'Data Tables'!AC23,'Data Tables'!AD23),IF($K$14="950-1000",IF($K$15="Yes",'Data Tables'!AC23,'Data Tables'!AD23),IF($K$14="1000-1100",IF($K$15="Yes",'Data Tables'!AC23,'Data Tables'!AD23),IF($K$14="1100-1200",IF($K$15="Yes",'Data Tables'!AC23,'Data Tables'!AD23),IF($K$15="Yes",'Data Tables'!AI23,'Data Tables'!AJ23))))))))))),IF($K$14="650-675",IF($K$15="Yes",'Data Tables'!S23,'Data Tables'!T23),IF($K$14="675-700",IF($K$15="Yes",'Data Tables'!S23,'Data Tables'!T23),IF($K$14="700-750",IF($K$15="Yes",'Data Tables'!Y23,'Data Tables'!Z23),IF($K$14="750-800",IF($K$15="Yes",'Data Tables'!Y23,'Data Tables'!Z23),IF($K$14="800-850",IF($K$15="Yes",'Data Tables'!Y23,'Data Tables'!Z23),IF($K$14="850-900",IF($K$15="Yes",'Data Tables'!Y23,'Data Tables'!Z23),IF($K$14="900-950",IF($K$15="Yes",'Data Tables'!AE23,'Data Tables'!AF23),IF($K$14="950-1000",IF($K$15="Yes",'Data Tables'!AE23,'Data Tables'!AF23),IF($K$14="1000-1100",IF($K$15="Yes",'Data Tables'!AE23,'Data Tables'!AF23),IF($K$14="1100-1200",IF($K$15="Yes",'Data Tables'!AE23,'Data Tables'!AF23),IF($K$15="Yes",'Data Tables'!AK23,'Data Tables'!AL23))))))))))))))),"")</f>
        <v/>
      </c>
      <c r="Q29" s="364" t="str">
        <f>IF(K$12="Brue and Axe",$K29*(IF($K$13="Freely draining",IF($K$14="650-675",IF($K$15="Yes",'Data Tables'!O35,'Data Tables'!P35),IF($K$14="675-700",IF($K$15="Yes",'Data Tables'!O35,'Data Tables'!P35),IF($K$14="700-750",IF($K$15="Yes",'Data Tables'!U35,'Data Tables'!V35),IF($K$14="750-800",IF($K$15="Yes",'Data Tables'!U35,'Data Tables'!V35),IF($K$14="800-850",IF($K$15="Yes",'Data Tables'!U35,'Data Tables'!V35),IF($K$14="850-900",IF($K$15="Yes",'Data Tables'!U35,'Data Tables'!V35),IF($K$14="900-950",IF($K$15="Yes",'Data Tables'!AA35,'Data Tables'!AB35),IF($K$14="950-1000",IF($K$15="Yes",'Data Tables'!AA35,'Data Tables'!AB35),IF($K$14="1000-1100",IF($K$15="Yes",'Data Tables'!AA35,'Data Tables'!AB35),IF($K$14="1100-1200",IF($K$15="Yes",'Data Tables'!AA35,'Data Tables'!AB35),IF($K$15="Yes",'Data Tables'!AG35,'Data Tables'!AH35))))))))))),IF($K$13="Impermeable - drained for arable",IF($K$14="650-675",IF($K$15="Yes",'Data Tables'!Q35,'Data Tables'!R35),IF($K$14="675-700",IF($K$15="Yes",'Data Tables'!Q35,'Data Tables'!R35),IF($K$14="700-750",IF($K$15="Yes",'Data Tables'!W35,'Data Tables'!X35),IF($K$14="750-800",IF($K$15="Yes",'Data Tables'!W35,'Data Tables'!X35),IF($K$14="800-850",IF($K$15="Yes",'Data Tables'!W35,'Data Tables'!X35),IF($K$14="850-900",IF($K$15="Yes",'Data Tables'!W35,'Data Tables'!X35),IF($K$14="900-950",IF($K$15="Yes",'Data Tables'!AC35,'Data Tables'!AD35),IF($K$14="950-1000",IF($K$15="Yes",'Data Tables'!AC35,'Data Tables'!AD35),IF($K$14="1000-1100",IF($K$15="Yes",'Data Tables'!AC35,'Data Tables'!AD35),IF($K$14="1100-1200",IF($K$15="Yes",'Data Tables'!AC35,'Data Tables'!AD35),IF($K$15="Yes",'Data Tables'!AI35,'Data Tables'!AJ35))))))))))),IF($K$14="650-675",IF($K$15="Yes",'Data Tables'!S35,'Data Tables'!T35),IF($K$14="675-700",IF($K$15="Yes",'Data Tables'!S35,'Data Tables'!T35),IF($K$14="700-750",IF($K$15="Yes",'Data Tables'!Y35,'Data Tables'!Z35),IF($K$14="750-800",IF($K$15="Yes",'Data Tables'!Y35,'Data Tables'!Z35),IF($K$14="800-850",IF($K$15="Yes",'Data Tables'!Y35,'Data Tables'!Z35),IF($K$14="850-900",IF($K$15="Yes",'Data Tables'!Y35,'Data Tables'!Z35),IF($K$14="900-950",IF($K$15="Yes",'Data Tables'!AE35,'Data Tables'!AF35),IF($K$14="950-1000",IF($K$15="Yes",'Data Tables'!AE35,'Data Tables'!AF35),IF($K$14="1000-1100",IF($K$15="Yes",'Data Tables'!AE35,'Data Tables'!AF35),IF($K$14="1100-1200",IF($K$15="Yes",'Data Tables'!AE35,'Data Tables'!AF35),IF($K$15="Yes",'Data Tables'!AK35,'Data Tables'!AL35)))))))))))))),"")</f>
        <v/>
      </c>
      <c r="R29" s="200"/>
      <c r="S29" s="47" t="s">
        <v>223</v>
      </c>
      <c r="T29" s="6"/>
      <c r="V29" s="357">
        <f>IF($K$12="Tone",(1*(IF($K$13="Freely draining",IF($K$14="650-675",IF($K$15="Yes",'Data Tables'!O11,'Data Tables'!P11),IF($K$14="675-700",IF($K$15="Yes",'Data Tables'!O11,'Data Tables'!P11),IF($K$14="700-750",IF($K$15="Yes",'Data Tables'!U11,'Data Tables'!V11),IF($K$14="750-800",IF($K$15="Yes",'Data Tables'!U11,'Data Tables'!V11),IF($K$14="800-850",IF($K$15="Yes",'Data Tables'!U11,'Data Tables'!V11),IF($K$14="850-900",IF($K$15="Yes",'Data Tables'!U11,'Data Tables'!V11),IF($K$14="900-950",IF($K$15="Yes",'Data Tables'!AA11,'Data Tables'!AB11),IF($K$14="950-1000",IF($K$15="Yes",'Data Tables'!AA11,'Data Tables'!AB11),IF($K$14="1000-1100",IF($K$15="Yes",'Data Tables'!AA11,'Data Tables'!AB11),IF($K$14="1100-1200",IF($K$15="Yes",'Data Tables'!AA11,'Data Tables'!AB11),IF($K$15="Yes",'Data Tables'!AG11,'Data Tables'!AH11))))))))))),IF($K$13="Impermeable - drained for arable",IF($K$14="650-675",IF($K$15="Yes",'Data Tables'!Q11,'Data Tables'!R11),IF($K$14="675-700",IF($K$15="Yes",'Data Tables'!Q11,'Data Tables'!R11),IF($K$14="700-750",IF($K$15="Yes",'Data Tables'!W11,'Data Tables'!X11),IF($K$14="750-800",IF($K$15="Yes",'Data Tables'!W11,'Data Tables'!X11),IF($K$14="800-850",IF($K$15="Yes",'Data Tables'!W11,'Data Tables'!X11),IF($K$14="850-900",IF($K$15="Yes",'Data Tables'!W11,'Data Tables'!X11),IF($K$14="900-950",IF($K$15="Yes",'Data Tables'!AC11,'Data Tables'!AD11),IF($K$14="950-1000",IF($K$15="Yes",'Data Tables'!AC11,'Data Tables'!AD11),IF($K$14="1000-1100",IF($K$15="Yes",'Data Tables'!AC11,'Data Tables'!AD11),IF($K$14="1100-1200",IF($K$15="Yes",'Data Tables'!AC11,'Data Tables'!AD11),IF($K$15="Yes",'Data Tables'!AI11,'Data Tables'!AJ11))))))))))),IF($K$14="650-675",IF($K$15="Yes",'Data Tables'!S11,'Data Tables'!T11),IF($K$14="675-700",IF($K$15="Yes",'Data Tables'!S11,'Data Tables'!T11),IF($K$14="700-750",IF($K$15="Yes",'Data Tables'!Y11,'Data Tables'!Z11),IF($K$14="750-800",IF($K$15="Yes",'Data Tables'!Y11,'Data Tables'!Z11),IF($K$14="800-850",IF($K$15="Yes",'Data Tables'!Y11,'Data Tables'!Z11),IF($K$14="850-900",IF($K$15="Yes",'Data Tables'!Y11,'Data Tables'!Z11),IF($K$14="900-950",IF($K$15="Yes",'Data Tables'!AE11,'Data Tables'!AF11),IF($K$14="950-1000",IF($K$15="Yes",'Data Tables'!AE11,'Data Tables'!AF11),IF($K$14="1000-1100",IF($K$15="Yes",'Data Tables'!AE11,'Data Tables'!AF11),IF($K$14="1100-1200",IF($K$15="Yes",'Data Tables'!AE11,'Data Tables'!AF11),IF($K$15="Yes",'Data Tables'!AK11,'Data Tables'!AL11))))))))))))))),"")</f>
        <v>0.28000000000000003</v>
      </c>
      <c r="W29" s="360" t="str">
        <f>IF($K$12="Parrett",(1*(IF($K$13="Freely draining",IF($K$14="650-675",IF($K$15="Yes",'Data Tables'!O23,'Data Tables'!P23),IF($K$14="675-700",IF($K$15="Yes",'Data Tables'!O23,'Data Tables'!P23),IF($K$14="700-750",IF($K$15="Yes",'Data Tables'!U23,'Data Tables'!V23),IF($K$14="750-800",IF($K$15="Yes",'Data Tables'!U23,'Data Tables'!V23),IF($K$14="800-850",IF($K$15="Yes",'Data Tables'!U23,'Data Tables'!V23),IF($K$14="850-900",IF($K$15="Yes",'Data Tables'!U23,'Data Tables'!V23),IF($K$14="900-950",IF($K$15="Yes",'Data Tables'!AA23,'Data Tables'!AB23),IF($K$14="950-1000",IF($K$15="Yes",'Data Tables'!AA23,'Data Tables'!AB23),IF($K$14="1000-1100",IF($K$15="Yes",'Data Tables'!AA23,'Data Tables'!AB23),IF($K$14="1100-1200",IF($K$15="Yes",'Data Tables'!AA23,'Data Tables'!AB23),IF($K$15="Yes",'Data Tables'!AG23,'Data Tables'!AH23))))))))))),IF($K$13="Impermeable - drained for arable",IF($K$14="650-675",IF($K$15="Yes",'Data Tables'!Q23,'Data Tables'!R23),IF($K$14="675-700",IF($K$15="Yes",'Data Tables'!Q23,'Data Tables'!R23),IF($K$14="700-750",IF($K$15="Yes",'Data Tables'!W23,'Data Tables'!X23),IF($K$14="750-800",IF($K$15="Yes",'Data Tables'!W23,'Data Tables'!X23),IF($K$14="800-850",IF($K$15="Yes",'Data Tables'!W23,'Data Tables'!X23),IF($K$14="850-900",IF($K$15="Yes",'Data Tables'!W23,'Data Tables'!X23),IF($K$14="900-950",IF($K$15="Yes",'Data Tables'!AC23,'Data Tables'!AD23),IF($K$14="950-1000",IF($K$15="Yes",'Data Tables'!AC23,'Data Tables'!AD23),IF($K$14="1000-1100",IF($K$15="Yes",'Data Tables'!AC23,'Data Tables'!AD23),IF($K$14="1100-1200",IF($K$15="Yes",'Data Tables'!AC23,'Data Tables'!AD23),IF($K$15="Yes",'Data Tables'!AI23,'Data Tables'!AJ23))))))))))),IF($K$14="650-675",IF($K$15="Yes",'Data Tables'!S23,'Data Tables'!T23),IF($K$14="675-700",IF($K$15="Yes",'Data Tables'!S23,'Data Tables'!T23),IF($K$14="700-750",IF($K$15="Yes",'Data Tables'!Y23,'Data Tables'!Z23),IF($K$14="750-800",IF($K$15="Yes",'Data Tables'!Y23,'Data Tables'!Z23),IF($K$14="800-850",IF($K$15="Yes",'Data Tables'!Y23,'Data Tables'!Z23),IF($K$14="850-900",IF($K$15="Yes",'Data Tables'!Y23,'Data Tables'!Z23),IF($K$14="900-950",IF($K$15="Yes",'Data Tables'!AE23,'Data Tables'!AF23),IF($K$14="950-1000",IF($K$15="Yes",'Data Tables'!AE23,'Data Tables'!AF23),IF($K$14="1000-1100",IF($K$15="Yes",'Data Tables'!AE23,'Data Tables'!AF23),IF($K$14="1100-1200",IF($K$15="Yes",'Data Tables'!AE23,'Data Tables'!AF23),IF($K$15="Yes",'Data Tables'!AK23,'Data Tables'!AL23))))))))))))))),"")</f>
        <v/>
      </c>
      <c r="X29" s="361" t="str">
        <f>IF(K$12="Brue and Axe",1*(IF($K$13="Freely draining",IF($K$14="650-675",IF($K$15="Yes",'Data Tables'!O35,'Data Tables'!P35),IF($K$14="675-700",IF($K$15="Yes",'Data Tables'!O35,'Data Tables'!P35),IF($K$14="700-750",IF($K$15="Yes",'Data Tables'!U35,'Data Tables'!V35),IF($K$14="750-800",IF($K$15="Yes",'Data Tables'!U35,'Data Tables'!V35),IF($K$14="800-850",IF($K$15="Yes",'Data Tables'!U35,'Data Tables'!V35),IF($K$14="850-900",IF($K$15="Yes",'Data Tables'!U35,'Data Tables'!V35),IF($K$14="900-950",IF($K$15="Yes",'Data Tables'!AA35,'Data Tables'!AB35),IF($K$14="950-1000",IF($K$15="Yes",'Data Tables'!AA35,'Data Tables'!AB35),IF($K$14="1000-1100",IF($K$15="Yes",'Data Tables'!AA35,'Data Tables'!AB35),IF($K$14="1100-1200",IF($K$15="Yes",'Data Tables'!AA35,'Data Tables'!AB35),IF($K$15="Yes",'Data Tables'!AG35,'Data Tables'!AH35))))))))))),IF($K$13="Impermeable - drained for arable",IF($K$14="650-675",IF($K$15="Yes",'Data Tables'!Q35,'Data Tables'!R35),IF($K$14="675-700",IF($K$15="Yes",'Data Tables'!Q35,'Data Tables'!R35),IF($K$14="700-750",IF($K$15="Yes",'Data Tables'!W35,'Data Tables'!X35),IF($K$14="750-800",IF($K$15="Yes",'Data Tables'!W35,'Data Tables'!X35),IF($K$14="800-850",IF($K$15="Yes",'Data Tables'!W35,'Data Tables'!X35),IF($K$14="850-900",IF($K$15="Yes",'Data Tables'!W35,'Data Tables'!X35),IF($K$14="900-950",IF($K$15="Yes",'Data Tables'!AC35,'Data Tables'!AD35),IF($K$14="950-1000",IF($K$15="Yes",'Data Tables'!AC35,'Data Tables'!AD35),IF($K$14="1000-1100",IF($K$15="Yes",'Data Tables'!AC35,'Data Tables'!AD35),IF($K$14="1100-1200",IF($K$15="Yes",'Data Tables'!AC35,'Data Tables'!AD35),IF($K$15="Yes",'Data Tables'!AI35,'Data Tables'!AJ35))))))))))),IF($K$14="650-675",IF($K$15="Yes",'Data Tables'!S35,'Data Tables'!T35),IF($K$14="675-700",IF($K$15="Yes",'Data Tables'!S35,'Data Tables'!T35),IF($K$14="700-750",IF($K$15="Yes",'Data Tables'!Y35,'Data Tables'!Z35),IF($K$14="750-800",IF($K$15="Yes",'Data Tables'!Y35,'Data Tables'!Z35),IF($K$14="800-850",IF($K$15="Yes",'Data Tables'!Y35,'Data Tables'!Z35),IF($K$14="850-900",IF($K$15="Yes",'Data Tables'!Y35,'Data Tables'!Z35),IF($K$14="900-950",IF($K$15="Yes",'Data Tables'!AE35,'Data Tables'!AF35),IF($K$14="950-1000",IF($K$15="Yes",'Data Tables'!AE35,'Data Tables'!AF35),IF($K$14="1000-1100",IF($K$15="Yes",'Data Tables'!AE35,'Data Tables'!AF35),IF($K$14="1100-1200",IF($K$15="Yes",'Data Tables'!AE35,'Data Tables'!AF35),IF($K$15="Yes",'Data Tables'!AK35,'Data Tables'!AL35)))))))))))))),"")</f>
        <v/>
      </c>
      <c r="Y29" s="355"/>
      <c r="Z29" s="354" t="b">
        <f t="shared" si="0"/>
        <v>0</v>
      </c>
      <c r="AA29" s="354" t="b">
        <f t="shared" si="1"/>
        <v>1</v>
      </c>
      <c r="AB29" s="354" t="b">
        <f t="shared" si="2"/>
        <v>1</v>
      </c>
      <c r="AC29" s="93"/>
      <c r="AD29" s="93"/>
      <c r="AE29" s="93"/>
      <c r="AF29" s="93"/>
      <c r="AG29" s="93"/>
      <c r="AH29" s="93"/>
      <c r="AI29" s="93"/>
      <c r="AJ29" s="93"/>
      <c r="AK29" s="93"/>
      <c r="AL29" s="93"/>
      <c r="AM29" s="93"/>
      <c r="AN29" s="93"/>
      <c r="AO29" s="93"/>
      <c r="AQ29" s="93"/>
      <c r="AR29" s="93"/>
      <c r="AS29" s="93"/>
      <c r="AT29" s="93"/>
      <c r="AU29" s="93"/>
      <c r="AV29" s="93"/>
      <c r="AW29" s="93"/>
      <c r="AX29" s="93"/>
      <c r="AY29" s="93"/>
      <c r="AZ29" s="93"/>
      <c r="BA29" s="93"/>
      <c r="BB29" s="93"/>
      <c r="BC29" s="93"/>
    </row>
    <row r="30" spans="2:55" ht="14.45" customHeight="1">
      <c r="B30" s="4"/>
      <c r="C30" s="40"/>
      <c r="D30" s="149"/>
      <c r="E30" s="47"/>
      <c r="F30" s="394" t="s">
        <v>229</v>
      </c>
      <c r="G30" s="394"/>
      <c r="H30" s="394"/>
      <c r="I30" s="394"/>
      <c r="J30" s="394"/>
      <c r="K30" s="349"/>
      <c r="L30" s="161" t="s">
        <v>222</v>
      </c>
      <c r="M30" s="47"/>
      <c r="N30" s="47"/>
      <c r="O30" s="364">
        <f>IF($K$12="Tone",($K30*(IF($K$13="Freely draining",IF($K$14="650-675",IF($K$15="Yes",'Data Tables'!O12,'Data Tables'!P12),IF($K$14="675-700",IF($K$15="Yes",'Data Tables'!O12,'Data Tables'!P12),IF($K$14="700-750",IF($K$15="Yes",'Data Tables'!U12,'Data Tables'!V12),IF($K$14="750-800",IF($K$15="Yes",'Data Tables'!U12,'Data Tables'!V12),IF($K$14="800-850",IF($K$15="Yes",'Data Tables'!U12,'Data Tables'!V12),IF($K$14="850-900",IF($K$15="Yes",'Data Tables'!U12,'Data Tables'!V12),IF($K$14="900-950",IF($K$15="Yes",'Data Tables'!AA12,'Data Tables'!AB12),IF($K$14="950-1000",IF($K$15="Yes",'Data Tables'!AA12,'Data Tables'!AB12),IF($K$14="1000-1100",IF($K$15="Yes",'Data Tables'!AA12,'Data Tables'!AB12),IF($K$14="1100-1200",IF($K$15="Yes",'Data Tables'!AA12,'Data Tables'!AB12),IF($K$15="Yes",'Data Tables'!AG12,'Data Tables'!AH12))))))))))),IF($K$13="Impermeable - drained for arable",IF($K$14="650-675",IF($K$15="Yes",'Data Tables'!Q12,'Data Tables'!R12),IF($K$14="675-700",IF($K$15="Yes",'Data Tables'!Q12,'Data Tables'!R12),IF($K$14="700-750",IF($K$15="Yes",'Data Tables'!W12,'Data Tables'!X12),IF($K$14="750-800",IF($K$15="Yes",'Data Tables'!W12,'Data Tables'!X12),IF($K$14="800-850",IF($K$15="Yes",'Data Tables'!W12,'Data Tables'!X12),IF($K$14="850-900",IF($K$15="Yes",'Data Tables'!W12,'Data Tables'!X12),IF($K$14="900-950",IF($K$15="Yes",'Data Tables'!AC12,'Data Tables'!AD12),IF($K$14="950-1000",IF($K$15="Yes",'Data Tables'!AC12,'Data Tables'!AD12),IF($K$14="1000-1100",IF($K$15="Yes",'Data Tables'!AC12,'Data Tables'!AD12),IF($K$14="1100-1200",IF($K$15="Yes",'Data Tables'!AC12,'Data Tables'!AD12),IF($K$15="Yes",'Data Tables'!AI12,'Data Tables'!AJ12))))))))))),IF($K$14="650-675",IF($K$15="Yes",'Data Tables'!S12,'Data Tables'!T12),IF($K$14="675-700",IF($K$15="Yes",'Data Tables'!S12,'Data Tables'!T12),IF($K$14="700-750",IF($K$15="Yes",'Data Tables'!Y12,'Data Tables'!Z12),IF($K$14="750-800",IF($K$15="Yes",'Data Tables'!Y12,'Data Tables'!Z12),IF($K$14="800-850",IF($K$15="Yes",'Data Tables'!Y12,'Data Tables'!Z12),IF($K$14="850-900",IF($K$15="Yes",'Data Tables'!Y12,'Data Tables'!Z12),IF($K$14="900-950",IF($K$15="Yes",'Data Tables'!AE12,'Data Tables'!AF12),IF($K$14="950-1000",IF($K$15="Yes",'Data Tables'!AE12,'Data Tables'!AF12),IF($K$14="1000-1100",IF($K$15="Yes",'Data Tables'!AE12,'Data Tables'!AF12),IF($K$14="1100-1200",IF($K$15="Yes",'Data Tables'!AE12,'Data Tables'!AF12),IF($K$15="Yes",'Data Tables'!AK12,'Data Tables'!AL12))))))))))))))),"")</f>
        <v>0</v>
      </c>
      <c r="P30" s="364" t="str">
        <f>IF($K$12="Parrett",($K30*(IF($K$13="Freely draining",IF($K$14="650-675",IF($K$15="Yes",'Data Tables'!O24,'Data Tables'!P24),IF($K$14="675-700",IF($K$15="Yes",'Data Tables'!O24,'Data Tables'!P24),IF($K$14="700-750",IF($K$15="Yes",'Data Tables'!U24,'Data Tables'!V24),IF($K$14="750-800",IF($K$15="Yes",'Data Tables'!U24,'Data Tables'!V24),IF($K$14="800-850",IF($K$15="Yes",'Data Tables'!U24,'Data Tables'!V24),IF($K$14="850-900",IF($K$15="Yes",'Data Tables'!U24,'Data Tables'!V24),IF($K$14="900-950",IF($K$15="Yes",'Data Tables'!AA24,'Data Tables'!AB24),IF($K$14="950-1000",IF($K$15="Yes",'Data Tables'!AA24,'Data Tables'!AB24),IF($K$14="1000-1100",IF($K$15="Yes",'Data Tables'!AA24,'Data Tables'!AB24),IF($K$14="1100-1200",IF($K$15="Yes",'Data Tables'!AA24,'Data Tables'!AB24),IF($K$15="Yes",'Data Tables'!AG24,'Data Tables'!AH24))))))))))),IF($K$13="Impermeable - drained for arable",IF($K$14="650-675",IF($K$15="Yes",'Data Tables'!Q24,'Data Tables'!R24),IF($K$14="675-700",IF($K$15="Yes",'Data Tables'!Q24,'Data Tables'!R24),IF($K$14="700-750",IF($K$15="Yes",'Data Tables'!W24,'Data Tables'!X24),IF($K$14="750-800",IF($K$15="Yes",'Data Tables'!W24,'Data Tables'!X24),IF($K$14="800-850",IF($K$15="Yes",'Data Tables'!W24,'Data Tables'!X24),IF($K$14="850-900",IF($K$15="Yes",'Data Tables'!W24,'Data Tables'!X24),IF($K$14="900-950",IF($K$15="Yes",'Data Tables'!AC24,'Data Tables'!AD24),IF($K$14="950-1000",IF($K$15="Yes",'Data Tables'!AC24,'Data Tables'!AD24),IF($K$14="1000-1100",IF($K$15="Yes",'Data Tables'!AC24,'Data Tables'!AD24),IF($K$14="1100-1200",IF($K$15="Yes",'Data Tables'!AC24,'Data Tables'!AD24),IF($K$15="Yes",'Data Tables'!AI24,'Data Tables'!AJ24))))))))))),IF($K$14="650-675",IF($K$15="Yes",'Data Tables'!S24,'Data Tables'!T24),IF($K$14="675-700",IF($K$15="Yes",'Data Tables'!S24,'Data Tables'!T24),IF($K$14="700-750",IF($K$15="Yes",'Data Tables'!Y24,'Data Tables'!Z24),IF($K$14="750-800",IF($K$15="Yes",'Data Tables'!Y24,'Data Tables'!Z24),IF($K$14="800-850",IF($K$15="Yes",'Data Tables'!Y24,'Data Tables'!Z24),IF($K$14="850-900",IF($K$15="Yes",'Data Tables'!Y24,'Data Tables'!Z24),IF($K$14="900-950",IF($K$15="Yes",'Data Tables'!AE24,'Data Tables'!AF24),IF($K$14="950-1000",IF($K$15="Yes",'Data Tables'!AE24,'Data Tables'!AF24),IF($K$14="1000-1100",IF($K$15="Yes",'Data Tables'!AE24,'Data Tables'!AF24),IF($K$14="1100-1200",IF($K$15="Yes",'Data Tables'!AE24,'Data Tables'!AF24),IF($K$15="Yes",'Data Tables'!AK24,'Data Tables'!AL24))))))))))))))),"")</f>
        <v/>
      </c>
      <c r="Q30" s="364" t="str">
        <f>IF(K$12="Brue and Axe",$K30*(IF($K$13="Freely draining",IF($K$14="650-675",IF($K$15="Yes",'Data Tables'!O36,'Data Tables'!P36),IF($K$14="675-700",IF($K$15="Yes",'Data Tables'!O36,'Data Tables'!P36),IF($K$14="700-750",IF($K$15="Yes",'Data Tables'!U36,'Data Tables'!V36),IF($K$14="750-800",IF($K$15="Yes",'Data Tables'!U36,'Data Tables'!V36),IF($K$14="800-850",IF($K$15="Yes",'Data Tables'!U36,'Data Tables'!V36),IF($K$14="850-900",IF($K$15="Yes",'Data Tables'!U36,'Data Tables'!V36),IF($K$14="900-950",IF($K$15="Yes",'Data Tables'!AA36,'Data Tables'!AB36),IF($K$14="950-1000",IF($K$15="Yes",'Data Tables'!AA36,'Data Tables'!AB36),IF($K$14="1000-1100",IF($K$15="Yes",'Data Tables'!AA36,'Data Tables'!AB36),IF($K$14="1100-1200",IF($K$15="Yes",'Data Tables'!AA36,'Data Tables'!AB36),IF($K$15="Yes",'Data Tables'!AG36,'Data Tables'!AH36))))))))))),IF($K$13="Impermeable - drained for arable",IF($K$14="650-675",IF($K$15="Yes",'Data Tables'!Q36,'Data Tables'!R36),IF($K$14="675-700",IF($K$15="Yes",'Data Tables'!Q36,'Data Tables'!R36),IF($K$14="700-750",IF($K$15="Yes",'Data Tables'!W36,'Data Tables'!X36),IF($K$14="750-800",IF($K$15="Yes",'Data Tables'!W36,'Data Tables'!X36),IF($K$14="800-850",IF($K$15="Yes",'Data Tables'!W36,'Data Tables'!X36),IF($K$14="850-900",IF($K$15="Yes",'Data Tables'!W36,'Data Tables'!X36),IF($K$14="900-950",IF($K$15="Yes",'Data Tables'!AC36,'Data Tables'!AD36),IF($K$14="950-1000",IF($K$15="Yes",'Data Tables'!AC36,'Data Tables'!AD36),IF($K$14="1000-1100",IF($K$15="Yes",'Data Tables'!AC36,'Data Tables'!AD36),IF($K$14="1100-1200",IF($K$15="Yes",'Data Tables'!AC36,'Data Tables'!AD36),IF($K$15="Yes",'Data Tables'!AI36,'Data Tables'!AJ36))))))))))),IF($K$14="650-675",IF($K$15="Yes",'Data Tables'!S36,'Data Tables'!T36),IF($K$14="675-700",IF($K$15="Yes",'Data Tables'!S36,'Data Tables'!T36),IF($K$14="700-750",IF($K$15="Yes",'Data Tables'!Y36,'Data Tables'!Z36),IF($K$14="750-800",IF($K$15="Yes",'Data Tables'!Y36,'Data Tables'!Z36),IF($K$14="800-850",IF($K$15="Yes",'Data Tables'!Y36,'Data Tables'!Z36),IF($K$14="850-900",IF($K$15="Yes",'Data Tables'!Y36,'Data Tables'!Z36),IF($K$14="900-950",IF($K$15="Yes",'Data Tables'!AE36,'Data Tables'!AF36),IF($K$14="950-1000",IF($K$15="Yes",'Data Tables'!AE36,'Data Tables'!AF36),IF($K$14="1000-1100",IF($K$15="Yes",'Data Tables'!AE36,'Data Tables'!AF36),IF($K$14="1100-1200",IF($K$15="Yes",'Data Tables'!AE36,'Data Tables'!AF36),IF($K$15="Yes",'Data Tables'!AK36,'Data Tables'!AL36)))))))))))))),"")</f>
        <v/>
      </c>
      <c r="R30" s="200"/>
      <c r="S30" s="47" t="s">
        <v>223</v>
      </c>
      <c r="T30" s="6"/>
      <c r="V30" s="357">
        <f>IF($K$12="Tone",(1*(IF($K$13="Freely draining",IF($K$14="650-675",IF($K$15="Yes",'Data Tables'!O12,'Data Tables'!P12),IF($K$14="675-700",IF($K$15="Yes",'Data Tables'!O12,'Data Tables'!P12),IF($K$14="700-750",IF($K$15="Yes",'Data Tables'!U12,'Data Tables'!V12),IF($K$14="750-800",IF($K$15="Yes",'Data Tables'!U12,'Data Tables'!V12),IF($K$14="800-850",IF($K$15="Yes",'Data Tables'!U12,'Data Tables'!V12),IF($K$14="850-900",IF($K$15="Yes",'Data Tables'!U12,'Data Tables'!V12),IF($K$14="900-950",IF($K$15="Yes",'Data Tables'!AA12,'Data Tables'!AB12),IF($K$14="950-1000",IF($K$15="Yes",'Data Tables'!AA12,'Data Tables'!AB12),IF($K$14="1000-1100",IF($K$15="Yes",'Data Tables'!AA12,'Data Tables'!AB12),IF($K$14="1100-1200",IF($K$15="Yes",'Data Tables'!AA12,'Data Tables'!AB12),IF($K$15="Yes",'Data Tables'!AG12,'Data Tables'!AH12))))))))))),IF($K$13="Impermeable - drained for arable",IF($K$14="650-675",IF($K$15="Yes",'Data Tables'!Q12,'Data Tables'!R12),IF($K$14="675-700",IF($K$15="Yes",'Data Tables'!Q12,'Data Tables'!R12),IF($K$14="700-750",IF($K$15="Yes",'Data Tables'!W12,'Data Tables'!X12),IF($K$14="750-800",IF($K$15="Yes",'Data Tables'!W12,'Data Tables'!X12),IF($K$14="800-850",IF($K$15="Yes",'Data Tables'!W12,'Data Tables'!X12),IF($K$14="850-900",IF($K$15="Yes",'Data Tables'!W12,'Data Tables'!X12),IF($K$14="900-950",IF($K$15="Yes",'Data Tables'!AC12,'Data Tables'!AD12),IF($K$14="950-1000",IF($K$15="Yes",'Data Tables'!AC12,'Data Tables'!AD12),IF($K$14="1000-1100",IF($K$15="Yes",'Data Tables'!AC12,'Data Tables'!AD12),IF($K$14="1100-1200",IF($K$15="Yes",'Data Tables'!AC12,'Data Tables'!AD12),IF($K$15="Yes",'Data Tables'!AI12,'Data Tables'!AJ12))))))))))),IF($K$14="650-675",IF($K$15="Yes",'Data Tables'!S12,'Data Tables'!T12),IF($K$14="675-700",IF($K$15="Yes",'Data Tables'!S12,'Data Tables'!T12),IF($K$14="700-750",IF($K$15="Yes",'Data Tables'!Y12,'Data Tables'!Z12),IF($K$14="750-800",IF($K$15="Yes",'Data Tables'!Y12,'Data Tables'!Z12),IF($K$14="800-850",IF($K$15="Yes",'Data Tables'!Y12,'Data Tables'!Z12),IF($K$14="850-900",IF($K$15="Yes",'Data Tables'!Y12,'Data Tables'!Z12),IF($K$14="900-950",IF($K$15="Yes",'Data Tables'!AE12,'Data Tables'!AF12),IF($K$14="950-1000",IF($K$15="Yes",'Data Tables'!AE12,'Data Tables'!AF12),IF($K$14="1000-1100",IF($K$15="Yes",'Data Tables'!AE12,'Data Tables'!AF12),IF($K$14="1100-1200",IF($K$15="Yes",'Data Tables'!AE12,'Data Tables'!AF12),IF($K$15="Yes",'Data Tables'!AK12,'Data Tables'!AL12))))))))))))))),"")</f>
        <v>0.22</v>
      </c>
      <c r="W30" s="360" t="str">
        <f>IF($K$12="Parrett",(1*(IF($K$13="Freely draining",IF($K$14="650-675",IF($K$15="Yes",'Data Tables'!O24,'Data Tables'!P24),IF($K$14="675-700",IF($K$15="Yes",'Data Tables'!O24,'Data Tables'!P24),IF($K$14="700-750",IF($K$15="Yes",'Data Tables'!U24,'Data Tables'!V24),IF($K$14="750-800",IF($K$15="Yes",'Data Tables'!U24,'Data Tables'!V24),IF($K$14="800-850",IF($K$15="Yes",'Data Tables'!U24,'Data Tables'!V24),IF($K$14="850-900",IF($K$15="Yes",'Data Tables'!U24,'Data Tables'!V24),IF($K$14="900-950",IF($K$15="Yes",'Data Tables'!AA24,'Data Tables'!AB24),IF($K$14="950-1000",IF($K$15="Yes",'Data Tables'!AA24,'Data Tables'!AB24),IF($K$14="1000-1100",IF($K$15="Yes",'Data Tables'!AA24,'Data Tables'!AB24),IF($K$14="1100-1200",IF($K$15="Yes",'Data Tables'!AA24,'Data Tables'!AB24),IF($K$15="Yes",'Data Tables'!AG24,'Data Tables'!AH24))))))))))),IF($K$13="Impermeable - drained for arable",IF($K$14="650-675",IF($K$15="Yes",'Data Tables'!Q24,'Data Tables'!R24),IF($K$14="675-700",IF($K$15="Yes",'Data Tables'!Q24,'Data Tables'!R24),IF($K$14="700-750",IF($K$15="Yes",'Data Tables'!W24,'Data Tables'!X24),IF($K$14="750-800",IF($K$15="Yes",'Data Tables'!W24,'Data Tables'!X24),IF($K$14="800-850",IF($K$15="Yes",'Data Tables'!W24,'Data Tables'!X24),IF($K$14="850-900",IF($K$15="Yes",'Data Tables'!W24,'Data Tables'!X24),IF($K$14="900-950",IF($K$15="Yes",'Data Tables'!AC24,'Data Tables'!AD24),IF($K$14="950-1000",IF($K$15="Yes",'Data Tables'!AC24,'Data Tables'!AD24),IF($K$14="1000-1100",IF($K$15="Yes",'Data Tables'!AC24,'Data Tables'!AD24),IF($K$14="1100-1200",IF($K$15="Yes",'Data Tables'!AC24,'Data Tables'!AD24),IF($K$15="Yes",'Data Tables'!AI24,'Data Tables'!AJ24))))))))))),IF($K$14="650-675",IF($K$15="Yes",'Data Tables'!S24,'Data Tables'!T24),IF($K$14="675-700",IF($K$15="Yes",'Data Tables'!S24,'Data Tables'!T24),IF($K$14="700-750",IF($K$15="Yes",'Data Tables'!Y24,'Data Tables'!Z24),IF($K$14="750-800",IF($K$15="Yes",'Data Tables'!Y24,'Data Tables'!Z24),IF($K$14="800-850",IF($K$15="Yes",'Data Tables'!Y24,'Data Tables'!Z24),IF($K$14="850-900",IF($K$15="Yes",'Data Tables'!Y24,'Data Tables'!Z24),IF($K$14="900-950",IF($K$15="Yes",'Data Tables'!AE24,'Data Tables'!AF24),IF($K$14="950-1000",IF($K$15="Yes",'Data Tables'!AE24,'Data Tables'!AF24),IF($K$14="1000-1100",IF($K$15="Yes",'Data Tables'!AE24,'Data Tables'!AF24),IF($K$14="1100-1200",IF($K$15="Yes",'Data Tables'!AE24,'Data Tables'!AF24),IF($K$15="Yes",'Data Tables'!AK24,'Data Tables'!AL24))))))))))))))),"")</f>
        <v/>
      </c>
      <c r="X30" s="361" t="str">
        <f>IF(K$12="Brue and Axe",1*(IF($K$13="Freely draining",IF($K$14="650-675",IF($K$15="Yes",'Data Tables'!O36,'Data Tables'!P36),IF($K$14="675-700",IF($K$15="Yes",'Data Tables'!O36,'Data Tables'!P36),IF($K$14="700-750",IF($K$15="Yes",'Data Tables'!U36,'Data Tables'!V36),IF($K$14="750-800",IF($K$15="Yes",'Data Tables'!U36,'Data Tables'!V36),IF($K$14="800-850",IF($K$15="Yes",'Data Tables'!U36,'Data Tables'!V36),IF($K$14="850-900",IF($K$15="Yes",'Data Tables'!U36,'Data Tables'!V36),IF($K$14="900-950",IF($K$15="Yes",'Data Tables'!AA36,'Data Tables'!AB36),IF($K$14="950-1000",IF($K$15="Yes",'Data Tables'!AA36,'Data Tables'!AB36),IF($K$14="1000-1100",IF($K$15="Yes",'Data Tables'!AA36,'Data Tables'!AB36),IF($K$14="1100-1200",IF($K$15="Yes",'Data Tables'!AA36,'Data Tables'!AB36),IF($K$15="Yes",'Data Tables'!AG36,'Data Tables'!AH36))))))))))),IF($K$13="Impermeable - drained for arable",IF($K$14="650-675",IF($K$15="Yes",'Data Tables'!Q36,'Data Tables'!R36),IF($K$14="675-700",IF($K$15="Yes",'Data Tables'!Q36,'Data Tables'!R36),IF($K$14="700-750",IF($K$15="Yes",'Data Tables'!W36,'Data Tables'!X36),IF($K$14="750-800",IF($K$15="Yes",'Data Tables'!W36,'Data Tables'!X36),IF($K$14="800-850",IF($K$15="Yes",'Data Tables'!W36,'Data Tables'!X36),IF($K$14="850-900",IF($K$15="Yes",'Data Tables'!W36,'Data Tables'!X36),IF($K$14="900-950",IF($K$15="Yes",'Data Tables'!AC36,'Data Tables'!AD36),IF($K$14="950-1000",IF($K$15="Yes",'Data Tables'!AC36,'Data Tables'!AD36),IF($K$14="1000-1100",IF($K$15="Yes",'Data Tables'!AC36,'Data Tables'!AD36),IF($K$14="1100-1200",IF($K$15="Yes",'Data Tables'!AC36,'Data Tables'!AD36),IF($K$15="Yes",'Data Tables'!AI36,'Data Tables'!AJ36))))))))))),IF($K$14="650-675",IF($K$15="Yes",'Data Tables'!S36,'Data Tables'!T36),IF($K$14="675-700",IF($K$15="Yes",'Data Tables'!S36,'Data Tables'!T36),IF($K$14="700-750",IF($K$15="Yes",'Data Tables'!Y36,'Data Tables'!Z36),IF($K$14="750-800",IF($K$15="Yes",'Data Tables'!Y36,'Data Tables'!Z36),IF($K$14="800-850",IF($K$15="Yes",'Data Tables'!Y36,'Data Tables'!Z36),IF($K$14="850-900",IF($K$15="Yes",'Data Tables'!Y36,'Data Tables'!Z36),IF($K$14="900-950",IF($K$15="Yes",'Data Tables'!AE36,'Data Tables'!AF36),IF($K$14="950-1000",IF($K$15="Yes",'Data Tables'!AE36,'Data Tables'!AF36),IF($K$14="1000-1100",IF($K$15="Yes",'Data Tables'!AE36,'Data Tables'!AF36),IF($K$14="1100-1200",IF($K$15="Yes",'Data Tables'!AE36,'Data Tables'!AF36),IF($K$15="Yes",'Data Tables'!AK36,'Data Tables'!AL36)))))))))))))),"")</f>
        <v/>
      </c>
      <c r="Y30" s="355"/>
      <c r="Z30" s="354" t="b">
        <f t="shared" si="0"/>
        <v>0</v>
      </c>
      <c r="AA30" s="354" t="b">
        <f t="shared" si="1"/>
        <v>1</v>
      </c>
      <c r="AB30" s="354" t="b">
        <f t="shared" si="2"/>
        <v>1</v>
      </c>
      <c r="AC30" s="93"/>
      <c r="AD30" s="93"/>
      <c r="AE30" s="93"/>
      <c r="AF30" s="93"/>
      <c r="AG30" s="93"/>
      <c r="AH30" s="93"/>
      <c r="AI30" s="93"/>
      <c r="AJ30" s="93"/>
      <c r="AK30" s="93"/>
      <c r="AL30" s="93"/>
      <c r="AM30" s="93"/>
      <c r="AN30" s="93"/>
      <c r="AO30" s="93"/>
      <c r="AQ30" s="93"/>
      <c r="AR30" s="93"/>
      <c r="AS30" s="93"/>
      <c r="AT30" s="93"/>
      <c r="AU30" s="93"/>
      <c r="AV30" s="93"/>
      <c r="AW30" s="93"/>
      <c r="AX30" s="93"/>
      <c r="AY30" s="93"/>
      <c r="AZ30" s="93"/>
      <c r="BA30" s="93"/>
      <c r="BB30" s="93"/>
      <c r="BC30" s="93"/>
    </row>
    <row r="31" spans="2:55" ht="14.45" customHeight="1">
      <c r="B31" s="4"/>
      <c r="C31" s="40"/>
      <c r="D31" s="149"/>
      <c r="E31" s="47"/>
      <c r="F31" s="394" t="s">
        <v>230</v>
      </c>
      <c r="G31" s="394"/>
      <c r="H31" s="394"/>
      <c r="I31" s="394"/>
      <c r="J31" s="394"/>
      <c r="K31" s="349"/>
      <c r="L31" s="161" t="s">
        <v>222</v>
      </c>
      <c r="M31" s="47"/>
      <c r="N31" s="47"/>
      <c r="O31" s="364">
        <f>IF($K$12="Tone",($K31*(IF($K$13="Freely draining",IF($K$14="650-675",IF($K$15="Yes",'Data Tables'!O13,'Data Tables'!P13),IF($K$14="675-700",IF($K$15="Yes",'Data Tables'!O13,'Data Tables'!P13),IF($K$14="700-750",IF($K$15="Yes",'Data Tables'!U13,'Data Tables'!V13),IF($K$14="750-800",IF($K$15="Yes",'Data Tables'!U13,'Data Tables'!V13),IF($K$14="800-850",IF($K$15="Yes",'Data Tables'!U13,'Data Tables'!V13),IF($K$14="850-900",IF($K$15="Yes",'Data Tables'!U13,'Data Tables'!V13),IF($K$14="900-950",IF($K$15="Yes",'Data Tables'!AA13,'Data Tables'!AB13),IF($K$14="950-1000",IF($K$15="Yes",'Data Tables'!AA13,'Data Tables'!AB13),IF($K$14="1000-1100",IF($K$15="Yes",'Data Tables'!AA13,'Data Tables'!AB13),IF($K$14="1100-1200",IF($K$15="Yes",'Data Tables'!AA13,'Data Tables'!AB13),IF($K$15="Yes",'Data Tables'!AG13,'Data Tables'!AH13))))))))))),IF($K$13="Impermeable - drained for arable",IF($K$14="650-675",IF($K$15="Yes",'Data Tables'!Q13,'Data Tables'!R13),IF($K$14="675-700",IF($K$15="Yes",'Data Tables'!Q13,'Data Tables'!R13),IF($K$14="700-750",IF($K$15="Yes",'Data Tables'!W13,'Data Tables'!X13),IF($K$14="750-800",IF($K$15="Yes",'Data Tables'!W13,'Data Tables'!X13),IF($K$14="800-850",IF($K$15="Yes",'Data Tables'!W13,'Data Tables'!X13),IF($K$14="850-900",IF($K$15="Yes",'Data Tables'!W13,'Data Tables'!X13),IF($K$14="900-950",IF($K$15="Yes",'Data Tables'!AC13,'Data Tables'!AD13),IF($K$14="950-1000",IF($K$15="Yes",'Data Tables'!AC13,'Data Tables'!AD13),IF($K$14="1000-1100",IF($K$15="Yes",'Data Tables'!AC13,'Data Tables'!AD13),IF($K$14="1100-1200",IF($K$15="Yes",'Data Tables'!AC13,'Data Tables'!AD13),IF($K$15="Yes",'Data Tables'!AI13,'Data Tables'!AJ13))))))))))),IF($K$14="650-675",IF($K$15="Yes",'Data Tables'!S13,'Data Tables'!T13),IF($K$14="675-700",IF($K$15="Yes",'Data Tables'!S13,'Data Tables'!T13),IF($K$14="700-750",IF($K$15="Yes",'Data Tables'!Y13,'Data Tables'!Z13),IF($K$14="750-800",IF($K$15="Yes",'Data Tables'!Y13,'Data Tables'!Z13),IF($K$14="800-850",IF($K$15="Yes",'Data Tables'!Y13,'Data Tables'!Z13),IF($K$14="850-900",IF($K$15="Yes",'Data Tables'!Y13,'Data Tables'!Z13),IF($K$14="900-950",IF($K$15="Yes",'Data Tables'!AE13,'Data Tables'!AF13),IF($K$14="950-1000",IF($K$15="Yes",'Data Tables'!AE13,'Data Tables'!AF13),IF($K$14="1000-1100",IF($K$15="Yes",'Data Tables'!AE13,'Data Tables'!AF13),IF($K$14="1100-1200",IF($K$15="Yes",'Data Tables'!AE13,'Data Tables'!AF13),IF($K$15="Yes",'Data Tables'!AK13,'Data Tables'!AL13))))))))))))))),"")</f>
        <v>0</v>
      </c>
      <c r="P31" s="364" t="str">
        <f>IF($K$12="Parrett",($K31*(IF($K$13="Freely draining",IF($K$14="650-675",IF($K$15="Yes",'Data Tables'!O25,'Data Tables'!P25),IF($K$14="675-700",IF($K$15="Yes",'Data Tables'!O25,'Data Tables'!P25),IF($K$14="700-750",IF($K$15="Yes",'Data Tables'!U25,'Data Tables'!V25),IF($K$14="750-800",IF($K$15="Yes",'Data Tables'!U25,'Data Tables'!V25),IF($K$14="800-850",IF($K$15="Yes",'Data Tables'!U25,'Data Tables'!V25),IF($K$14="850-900",IF($K$15="Yes",'Data Tables'!U25,'Data Tables'!V25),IF($K$14="900-950",IF($K$15="Yes",'Data Tables'!AA25,'Data Tables'!AB25),IF($K$14="950-1000",IF($K$15="Yes",'Data Tables'!AA25,'Data Tables'!AB25),IF($K$14="1000-1100",IF($K$15="Yes",'Data Tables'!AA25,'Data Tables'!AB25),IF($K$14="1100-1200",IF($K$15="Yes",'Data Tables'!AA25,'Data Tables'!AB25),IF($K$15="Yes",'Data Tables'!AG25,'Data Tables'!AH25))))))))))),IF($K$13="Impermeable - drained for arable",IF($K$14="650-675",IF($K$15="Yes",'Data Tables'!Q25,'Data Tables'!R25),IF($K$14="675-700",IF($K$15="Yes",'Data Tables'!Q25,'Data Tables'!R25),IF($K$14="700-750",IF($K$15="Yes",'Data Tables'!W25,'Data Tables'!X25),IF($K$14="750-800",IF($K$15="Yes",'Data Tables'!W25,'Data Tables'!X25),IF($K$14="800-850",IF($K$15="Yes",'Data Tables'!W25,'Data Tables'!X25),IF($K$14="850-900",IF($K$15="Yes",'Data Tables'!W25,'Data Tables'!X25),IF($K$14="900-950",IF($K$15="Yes",'Data Tables'!AC25,'Data Tables'!AD25),IF($K$14="950-1000",IF($K$15="Yes",'Data Tables'!AC25,'Data Tables'!AD25),IF($K$14="1000-1100",IF($K$15="Yes",'Data Tables'!AC25,'Data Tables'!AD25),IF($K$14="1100-1200",IF($K$15="Yes",'Data Tables'!AC25,'Data Tables'!AD25),IF($K$15="Yes",'Data Tables'!AI25,'Data Tables'!AJ25))))))))))),IF($K$14="650-675",IF($K$15="Yes",'Data Tables'!S25,'Data Tables'!T25),IF($K$14="675-700",IF($K$15="Yes",'Data Tables'!S25,'Data Tables'!T25),IF($K$14="700-750",IF($K$15="Yes",'Data Tables'!Y25,'Data Tables'!Z25),IF($K$14="750-800",IF($K$15="Yes",'Data Tables'!Y25,'Data Tables'!Z25),IF($K$14="800-850",IF($K$15="Yes",'Data Tables'!Y25,'Data Tables'!Z25),IF($K$14="850-900",IF($K$15="Yes",'Data Tables'!Y25,'Data Tables'!Z25),IF($K$14="900-950",IF($K$15="Yes",'Data Tables'!AE25,'Data Tables'!AF25),IF($K$14="950-1000",IF($K$15="Yes",'Data Tables'!AE25,'Data Tables'!AF25),IF($K$14="1000-1100",IF($K$15="Yes",'Data Tables'!AE25,'Data Tables'!AF25),IF($K$14="1100-1200",IF($K$15="Yes",'Data Tables'!AE25,'Data Tables'!AF25),IF($K$15="Yes",'Data Tables'!AK25,'Data Tables'!AL25))))))))))))))),"")</f>
        <v/>
      </c>
      <c r="Q31" s="364" t="str">
        <f>IF(K$12="Brue and Axe",$K31*(IF($K$13="Freely draining",IF($K$14="650-675",IF($K$15="Yes",'Data Tables'!O37,'Data Tables'!P37),IF($K$14="675-700",IF($K$15="Yes",'Data Tables'!O37,'Data Tables'!P37),IF($K$14="700-750",IF($K$15="Yes",'Data Tables'!U37,'Data Tables'!V37),IF($K$14="750-800",IF($K$15="Yes",'Data Tables'!U37,'Data Tables'!V37),IF($K$14="800-850",IF($K$15="Yes",'Data Tables'!U37,'Data Tables'!V37),IF($K$14="850-900",IF($K$15="Yes",'Data Tables'!U37,'Data Tables'!V37),IF($K$14="900-950",IF($K$15="Yes",'Data Tables'!AA37,'Data Tables'!AB37),IF($K$14="950-1000",IF($K$15="Yes",'Data Tables'!AA37,'Data Tables'!AB37),IF($K$14="1000-1100",IF($K$15="Yes",'Data Tables'!AA37,'Data Tables'!AB37),IF($K$14="1100-1200",IF($K$15="Yes",'Data Tables'!AA37,'Data Tables'!AB37),IF($K$15="Yes",'Data Tables'!AG37,'Data Tables'!AH37))))))))))),IF($K$13="Impermeable - drained for arable",IF($K$14="650-675",IF($K$15="Yes",'Data Tables'!Q37,'Data Tables'!R37),IF($K$14="675-700",IF($K$15="Yes",'Data Tables'!Q37,'Data Tables'!R37),IF($K$14="700-750",IF($K$15="Yes",'Data Tables'!W37,'Data Tables'!X37),IF($K$14="750-800",IF($K$15="Yes",'Data Tables'!W37,'Data Tables'!X37),IF($K$14="800-850",IF($K$15="Yes",'Data Tables'!W37,'Data Tables'!X37),IF($K$14="850-900",IF($K$15="Yes",'Data Tables'!W37,'Data Tables'!X37),IF($K$14="900-950",IF($K$15="Yes",'Data Tables'!AC37,'Data Tables'!AD37),IF($K$14="950-1000",IF($K$15="Yes",'Data Tables'!AC37,'Data Tables'!AD37),IF($K$14="1000-1100",IF($K$15="Yes",'Data Tables'!AC37,'Data Tables'!AD37),IF($K$14="1100-1200",IF($K$15="Yes",'Data Tables'!AC37,'Data Tables'!AD37),IF($K$15="Yes",'Data Tables'!AI37,'Data Tables'!AJ37))))))))))),IF($K$14="650-675",IF($K$15="Yes",'Data Tables'!S37,'Data Tables'!T37),IF($K$14="675-700",IF($K$15="Yes",'Data Tables'!S37,'Data Tables'!T37),IF($K$14="700-750",IF($K$15="Yes",'Data Tables'!Y37,'Data Tables'!Z37),IF($K$14="750-800",IF($K$15="Yes",'Data Tables'!Y37,'Data Tables'!Z37),IF($K$14="800-850",IF($K$15="Yes",'Data Tables'!Y37,'Data Tables'!Z37),IF($K$14="850-900",IF($K$15="Yes",'Data Tables'!Y37,'Data Tables'!Z37),IF($K$14="900-950",IF($K$15="Yes",'Data Tables'!AE37,'Data Tables'!AF37),IF($K$14="950-1000",IF($K$15="Yes",'Data Tables'!AE37,'Data Tables'!AF37),IF($K$14="1000-1100",IF($K$15="Yes",'Data Tables'!AE37,'Data Tables'!AF37),IF($K$14="1100-1200",IF($K$15="Yes",'Data Tables'!AE37,'Data Tables'!AF37),IF($K$15="Yes",'Data Tables'!AK37,'Data Tables'!AL37)))))))))))))),"")</f>
        <v/>
      </c>
      <c r="R31" s="201"/>
      <c r="S31" s="47" t="s">
        <v>223</v>
      </c>
      <c r="T31" s="6"/>
      <c r="V31" s="357">
        <f>IF($K$12="Tone",(1*(IF($K$13="Freely draining",IF($K$14="650-675",IF($K$15="Yes",'Data Tables'!O13,'Data Tables'!P13),IF($K$14="675-700",IF($K$15="Yes",'Data Tables'!O13,'Data Tables'!P13),IF($K$14="700-750",IF($K$15="Yes",'Data Tables'!U13,'Data Tables'!V13),IF($K$14="750-800",IF($K$15="Yes",'Data Tables'!U13,'Data Tables'!V13),IF($K$14="800-850",IF($K$15="Yes",'Data Tables'!U13,'Data Tables'!V13),IF($K$14="850-900",IF($K$15="Yes",'Data Tables'!U13,'Data Tables'!V13),IF($K$14="900-950",IF($K$15="Yes",'Data Tables'!AA13,'Data Tables'!AB13),IF($K$14="950-1000",IF($K$15="Yes",'Data Tables'!AA13,'Data Tables'!AB13),IF($K$14="1000-1100",IF($K$15="Yes",'Data Tables'!AA13,'Data Tables'!AB13),IF($K$14="1100-1200",IF($K$15="Yes",'Data Tables'!AA13,'Data Tables'!AB13),IF($K$15="Yes",'Data Tables'!AG13,'Data Tables'!AH13))))))))))),IF($K$13="Impermeable - drained for arable",IF($K$14="650-675",IF($K$15="Yes",'Data Tables'!Q13,'Data Tables'!R13),IF($K$14="675-700",IF($K$15="Yes",'Data Tables'!Q13,'Data Tables'!R13),IF($K$14="700-750",IF($K$15="Yes",'Data Tables'!W13,'Data Tables'!X13),IF($K$14="750-800",IF($K$15="Yes",'Data Tables'!W13,'Data Tables'!X13),IF($K$14="800-850",IF($K$15="Yes",'Data Tables'!W13,'Data Tables'!X13),IF($K$14="850-900",IF($K$15="Yes",'Data Tables'!W13,'Data Tables'!X13),IF($K$14="900-950",IF($K$15="Yes",'Data Tables'!AC13,'Data Tables'!AD13),IF($K$14="950-1000",IF($K$15="Yes",'Data Tables'!AC13,'Data Tables'!AD13),IF($K$14="1000-1100",IF($K$15="Yes",'Data Tables'!AC13,'Data Tables'!AD13),IF($K$14="1100-1200",IF($K$15="Yes",'Data Tables'!AC13,'Data Tables'!AD13),IF($K$15="Yes",'Data Tables'!AI13,'Data Tables'!AJ13))))))))))),IF($K$14="650-675",IF($K$15="Yes",'Data Tables'!S13,'Data Tables'!T13),IF($K$14="675-700",IF($K$15="Yes",'Data Tables'!S13,'Data Tables'!T13),IF($K$14="700-750",IF($K$15="Yes",'Data Tables'!Y13,'Data Tables'!Z13),IF($K$14="750-800",IF($K$15="Yes",'Data Tables'!Y13,'Data Tables'!Z13),IF($K$14="800-850",IF($K$15="Yes",'Data Tables'!Y13,'Data Tables'!Z13),IF($K$14="850-900",IF($K$15="Yes",'Data Tables'!Y13,'Data Tables'!Z13),IF($K$14="900-950",IF($K$15="Yes",'Data Tables'!AE13,'Data Tables'!AF13),IF($K$14="950-1000",IF($K$15="Yes",'Data Tables'!AE13,'Data Tables'!AF13),IF($K$14="1000-1100",IF($K$15="Yes",'Data Tables'!AE13,'Data Tables'!AF13),IF($K$14="1100-1200",IF($K$15="Yes",'Data Tables'!AE13,'Data Tables'!AF13),IF($K$15="Yes",'Data Tables'!AK13,'Data Tables'!AL13))))))))))))))),"")</f>
        <v>0.22</v>
      </c>
      <c r="W31" s="360" t="str">
        <f>IF($K$12="Parrett",(1*(IF($K$13="Freely draining",IF($K$14="650-675",IF($K$15="Yes",'Data Tables'!O25,'Data Tables'!P25),IF($K$14="675-700",IF($K$15="Yes",'Data Tables'!O25,'Data Tables'!P25),IF($K$14="700-750",IF($K$15="Yes",'Data Tables'!U25,'Data Tables'!V25),IF($K$14="750-800",IF($K$15="Yes",'Data Tables'!U25,'Data Tables'!V25),IF($K$14="800-850",IF($K$15="Yes",'Data Tables'!U25,'Data Tables'!V25),IF($K$14="850-900",IF($K$15="Yes",'Data Tables'!U25,'Data Tables'!V25),IF($K$14="900-950",IF($K$15="Yes",'Data Tables'!AA25,'Data Tables'!AB25),IF($K$14="950-1000",IF($K$15="Yes",'Data Tables'!AA25,'Data Tables'!AB25),IF($K$14="1000-1100",IF($K$15="Yes",'Data Tables'!AA25,'Data Tables'!AB25),IF($K$14="1100-1200",IF($K$15="Yes",'Data Tables'!AA25,'Data Tables'!AB25),IF($K$15="Yes",'Data Tables'!AG25,'Data Tables'!AH25))))))))))),IF($K$13="Impermeable - drained for arable",IF($K$14="650-675",IF($K$15="Yes",'Data Tables'!Q25,'Data Tables'!R25),IF($K$14="675-700",IF($K$15="Yes",'Data Tables'!Q25,'Data Tables'!R25),IF($K$14="700-750",IF($K$15="Yes",'Data Tables'!W25,'Data Tables'!X25),IF($K$14="750-800",IF($K$15="Yes",'Data Tables'!W25,'Data Tables'!X25),IF($K$14="800-850",IF($K$15="Yes",'Data Tables'!W25,'Data Tables'!X25),IF($K$14="850-900",IF($K$15="Yes",'Data Tables'!W25,'Data Tables'!X25),IF($K$14="900-950",IF($K$15="Yes",'Data Tables'!AC25,'Data Tables'!AD25),IF($K$14="950-1000",IF($K$15="Yes",'Data Tables'!AC25,'Data Tables'!AD25),IF($K$14="1000-1100",IF($K$15="Yes",'Data Tables'!AC25,'Data Tables'!AD25),IF($K$14="1100-1200",IF($K$15="Yes",'Data Tables'!AC25,'Data Tables'!AD25),IF($K$15="Yes",'Data Tables'!AI25,'Data Tables'!AJ25))))))))))),IF($K$14="650-675",IF($K$15="Yes",'Data Tables'!S25,'Data Tables'!T25),IF($K$14="675-700",IF($K$15="Yes",'Data Tables'!S25,'Data Tables'!T25),IF($K$14="700-750",IF($K$15="Yes",'Data Tables'!Y25,'Data Tables'!Z25),IF($K$14="750-800",IF($K$15="Yes",'Data Tables'!Y25,'Data Tables'!Z25),IF($K$14="800-850",IF($K$15="Yes",'Data Tables'!Y25,'Data Tables'!Z25),IF($K$14="850-900",IF($K$15="Yes",'Data Tables'!Y25,'Data Tables'!Z25),IF($K$14="900-950",IF($K$15="Yes",'Data Tables'!AE25,'Data Tables'!AF25),IF($K$14="950-1000",IF($K$15="Yes",'Data Tables'!AE25,'Data Tables'!AF25),IF($K$14="1000-1100",IF($K$15="Yes",'Data Tables'!AE25,'Data Tables'!AF25),IF($K$14="1100-1200",IF($K$15="Yes",'Data Tables'!AE25,'Data Tables'!AF25),IF($K$15="Yes",'Data Tables'!AK25,'Data Tables'!AL25))))))))))))))),"")</f>
        <v/>
      </c>
      <c r="X31" s="361" t="str">
        <f>IF(K$12="Brue and Axe",1*(IF($K$13="Freely draining",IF($K$14="650-675",IF($K$15="Yes",'Data Tables'!O37,'Data Tables'!P37),IF($K$14="675-700",IF($K$15="Yes",'Data Tables'!O37,'Data Tables'!P37),IF($K$14="700-750",IF($K$15="Yes",'Data Tables'!U37,'Data Tables'!V37),IF($K$14="750-800",IF($K$15="Yes",'Data Tables'!U37,'Data Tables'!V37),IF($K$14="800-850",IF($K$15="Yes",'Data Tables'!U37,'Data Tables'!V37),IF($K$14="850-900",IF($K$15="Yes",'Data Tables'!U37,'Data Tables'!V37),IF($K$14="900-950",IF($K$15="Yes",'Data Tables'!AA37,'Data Tables'!AB37),IF($K$14="950-1000",IF($K$15="Yes",'Data Tables'!AA37,'Data Tables'!AB37),IF($K$14="1000-1100",IF($K$15="Yes",'Data Tables'!AA37,'Data Tables'!AB37),IF($K$14="1100-1200",IF($K$15="Yes",'Data Tables'!AA37,'Data Tables'!AB37),IF($K$15="Yes",'Data Tables'!AG37,'Data Tables'!AH37))))))))))),IF($K$13="Impermeable - drained for arable",IF($K$14="650-675",IF($K$15="Yes",'Data Tables'!Q37,'Data Tables'!R37),IF($K$14="675-700",IF($K$15="Yes",'Data Tables'!Q37,'Data Tables'!R37),IF($K$14="700-750",IF($K$15="Yes",'Data Tables'!W37,'Data Tables'!X37),IF($K$14="750-800",IF($K$15="Yes",'Data Tables'!W37,'Data Tables'!X37),IF($K$14="800-850",IF($K$15="Yes",'Data Tables'!W37,'Data Tables'!X37),IF($K$14="850-900",IF($K$15="Yes",'Data Tables'!W37,'Data Tables'!X37),IF($K$14="900-950",IF($K$15="Yes",'Data Tables'!AC37,'Data Tables'!AD37),IF($K$14="950-1000",IF($K$15="Yes",'Data Tables'!AC37,'Data Tables'!AD37),IF($K$14="1000-1100",IF($K$15="Yes",'Data Tables'!AC37,'Data Tables'!AD37),IF($K$14="1100-1200",IF($K$15="Yes",'Data Tables'!AC37,'Data Tables'!AD37),IF($K$15="Yes",'Data Tables'!AI37,'Data Tables'!AJ37))))))))))),IF($K$14="650-675",IF($K$15="Yes",'Data Tables'!S37,'Data Tables'!T37),IF($K$14="675-700",IF($K$15="Yes",'Data Tables'!S37,'Data Tables'!T37),IF($K$14="700-750",IF($K$15="Yes",'Data Tables'!Y37,'Data Tables'!Z37),IF($K$14="750-800",IF($K$15="Yes",'Data Tables'!Y37,'Data Tables'!Z37),IF($K$14="800-850",IF($K$15="Yes",'Data Tables'!Y37,'Data Tables'!Z37),IF($K$14="850-900",IF($K$15="Yes",'Data Tables'!Y37,'Data Tables'!Z37),IF($K$14="900-950",IF($K$15="Yes",'Data Tables'!AE37,'Data Tables'!AF37),IF($K$14="950-1000",IF($K$15="Yes",'Data Tables'!AE37,'Data Tables'!AF37),IF($K$14="1000-1100",IF($K$15="Yes",'Data Tables'!AE37,'Data Tables'!AF37),IF($K$14="1100-1200",IF($K$15="Yes",'Data Tables'!AE37,'Data Tables'!AF37),IF($K$15="Yes",'Data Tables'!AK37,'Data Tables'!AL37)))))))))))))),"")</f>
        <v/>
      </c>
      <c r="Y31" s="353"/>
      <c r="Z31" s="354" t="b">
        <f t="shared" si="0"/>
        <v>0</v>
      </c>
      <c r="AA31" s="354" t="b">
        <f t="shared" si="1"/>
        <v>1</v>
      </c>
      <c r="AB31" s="354" t="b">
        <f t="shared" si="2"/>
        <v>1</v>
      </c>
      <c r="AC31" s="13"/>
      <c r="AD31" s="13"/>
      <c r="AE31" s="13"/>
      <c r="AF31" s="13"/>
      <c r="AG31" s="13"/>
      <c r="AH31" s="13"/>
    </row>
    <row r="32" spans="2:55" ht="14.45" customHeight="1">
      <c r="B32" s="4"/>
      <c r="C32" s="40"/>
      <c r="D32" s="149"/>
      <c r="E32" s="47"/>
      <c r="F32" s="394" t="s">
        <v>57</v>
      </c>
      <c r="G32" s="394"/>
      <c r="H32" s="394"/>
      <c r="I32" s="394"/>
      <c r="J32" s="394"/>
      <c r="K32" s="349"/>
      <c r="L32" s="161" t="s">
        <v>222</v>
      </c>
      <c r="M32" s="47"/>
      <c r="N32" s="47"/>
      <c r="O32" s="364">
        <f>IF($K$12="Tone",($K32*(IF($K$13="Freely draining",IF($K$14="650-675",IF($K$15="Yes",'Data Tables'!O14,'Data Tables'!P14),IF($K$14="675-700",IF($K$15="Yes",'Data Tables'!O14,'Data Tables'!P14),IF($K$14="700-750",IF($K$15="Yes",'Data Tables'!U14,'Data Tables'!V14),IF($K$14="750-800",IF($K$15="Yes",'Data Tables'!U14,'Data Tables'!V14),IF($K$14="800-850",IF($K$15="Yes",'Data Tables'!U14,'Data Tables'!V14),IF($K$14="850-900",IF($K$15="Yes",'Data Tables'!U14,'Data Tables'!V14),IF($K$14="900-950",IF($K$15="Yes",'Data Tables'!AA14,'Data Tables'!AB14),IF($K$14="950-1000",IF($K$15="Yes",'Data Tables'!AA14,'Data Tables'!AB14),IF($K$14="1000-1100",IF($K$15="Yes",'Data Tables'!AA14,'Data Tables'!AB14),IF($K$14="1100-1200",IF($K$15="Yes",'Data Tables'!AA14,'Data Tables'!AB14),IF($K$15="Yes",'Data Tables'!AG14,'Data Tables'!AH14))))))))))),IF($K$13="Impermeable - drained for arable",IF($K$14="650-675",IF($K$15="Yes",'Data Tables'!Q14,'Data Tables'!R14),IF($K$14="675-700",IF($K$15="Yes",'Data Tables'!Q14,'Data Tables'!R14),IF($K$14="700-750",IF($K$15="Yes",'Data Tables'!W14,'Data Tables'!X14),IF($K$14="750-800",IF($K$15="Yes",'Data Tables'!W14,'Data Tables'!X14),IF($K$14="800-850",IF($K$15="Yes",'Data Tables'!W14,'Data Tables'!X14),IF($K$14="850-900",IF($K$15="Yes",'Data Tables'!W14,'Data Tables'!X14),IF($K$14="900-950",IF($K$15="Yes",'Data Tables'!AC14,'Data Tables'!AD14),IF($K$14="950-1000",IF($K$15="Yes",'Data Tables'!AC14,'Data Tables'!AD14),IF($K$14="1000-1100",IF($K$15="Yes",'Data Tables'!AC14,'Data Tables'!AD14),IF($K$14="1100-1200",IF($K$15="Yes",'Data Tables'!AC14,'Data Tables'!AD14),IF($K$15="Yes",'Data Tables'!AI14,'Data Tables'!AJ14))))))))))),IF($K$14="650-675",IF($K$15="Yes",'Data Tables'!S14,'Data Tables'!T14),IF($K$14="675-700",IF($K$15="Yes",'Data Tables'!S14,'Data Tables'!T14),IF($K$14="700-750",IF($K$15="Yes",'Data Tables'!Y14,'Data Tables'!Z14),IF($K$14="750-800",IF($K$15="Yes",'Data Tables'!Y14,'Data Tables'!Z14),IF($K$14="800-850",IF($K$15="Yes",'Data Tables'!Y14,'Data Tables'!Z14),IF($K$14="850-900",IF($K$15="Yes",'Data Tables'!Y14,'Data Tables'!Z14),IF($K$14="900-950",IF($K$15="Yes",'Data Tables'!AE14,'Data Tables'!AF14),IF($K$14="950-1000",IF($K$15="Yes",'Data Tables'!AE14,'Data Tables'!AF14),IF($K$14="1000-1100",IF($K$15="Yes",'Data Tables'!AE14,'Data Tables'!AF14),IF($K$14="1100-1200",IF($K$15="Yes",'Data Tables'!AE14,'Data Tables'!AF14),IF($K$15="Yes",'Data Tables'!AK14,'Data Tables'!AL14))))))))))))))),"")</f>
        <v>0</v>
      </c>
      <c r="P32" s="364" t="str">
        <f>IF($K$12="Parrett",($K32*(IF($K$13="Freely draining",IF($K$14="650-675",IF($K$15="Yes",'Data Tables'!O26,'Data Tables'!P26),IF($K$14="675-700",IF($K$15="Yes",'Data Tables'!O26,'Data Tables'!P26),IF($K$14="700-750",IF($K$15="Yes",'Data Tables'!U26,'Data Tables'!V26),IF($K$14="750-800",IF($K$15="Yes",'Data Tables'!U26,'Data Tables'!V26),IF($K$14="800-850",IF($K$15="Yes",'Data Tables'!U26,'Data Tables'!V26),IF($K$14="850-900",IF($K$15="Yes",'Data Tables'!U26,'Data Tables'!V26),IF($K$14="900-950",IF($K$15="Yes",'Data Tables'!AA26,'Data Tables'!AB26),IF($K$14="950-1000",IF($K$15="Yes",'Data Tables'!AA26,'Data Tables'!AB26),IF($K$14="1000-1100",IF($K$15="Yes",'Data Tables'!AA26,'Data Tables'!AB26),IF($K$14="1100-1200",IF($K$15="Yes",'Data Tables'!AA26,'Data Tables'!AB26),IF($K$15="Yes",'Data Tables'!AG26,'Data Tables'!AH26))))))))))),IF($K$13="Impermeable - drained for arable",IF($K$14="650-675",IF($K$15="Yes",'Data Tables'!Q26,'Data Tables'!R26),IF($K$14="675-700",IF($K$15="Yes",'Data Tables'!Q26,'Data Tables'!R26),IF($K$14="700-750",IF($K$15="Yes",'Data Tables'!W26,'Data Tables'!X26),IF($K$14="750-800",IF($K$15="Yes",'Data Tables'!W26,'Data Tables'!X26),IF($K$14="800-850",IF($K$15="Yes",'Data Tables'!W26,'Data Tables'!X26),IF($K$14="850-900",IF($K$15="Yes",'Data Tables'!W26,'Data Tables'!X26),IF($K$14="900-950",IF($K$15="Yes",'Data Tables'!AC26,'Data Tables'!AD26),IF($K$14="950-1000",IF($K$15="Yes",'Data Tables'!AC26,'Data Tables'!AD26),IF($K$14="1000-1100",IF($K$15="Yes",'Data Tables'!AC26,'Data Tables'!AD26),IF($K$14="1100-1200",IF($K$15="Yes",'Data Tables'!AC26,'Data Tables'!AD26),IF($K$15="Yes",'Data Tables'!AI26,'Data Tables'!AJ26))))))))))),IF($K$14="650-675",IF($K$15="Yes",'Data Tables'!S26,'Data Tables'!T26),IF($K$14="675-700",IF($K$15="Yes",'Data Tables'!S26,'Data Tables'!T26),IF($K$14="700-750",IF($K$15="Yes",'Data Tables'!Y26,'Data Tables'!Z26),IF($K$14="750-800",IF($K$15="Yes",'Data Tables'!Y26,'Data Tables'!Z26),IF($K$14="800-850",IF($K$15="Yes",'Data Tables'!Y26,'Data Tables'!Z26),IF($K$14="850-900",IF($K$15="Yes",'Data Tables'!Y26,'Data Tables'!Z26),IF($K$14="900-950",IF($K$15="Yes",'Data Tables'!AE26,'Data Tables'!AF26),IF($K$14="950-1000",IF($K$15="Yes",'Data Tables'!AE26,'Data Tables'!AF26),IF($K$14="1000-1100",IF($K$15="Yes",'Data Tables'!AE26,'Data Tables'!AF26),IF($K$14="1100-1200",IF($K$15="Yes",'Data Tables'!AE26,'Data Tables'!AF26),IF($K$15="Yes",'Data Tables'!AK26,'Data Tables'!AL26))))))))))))))),"")</f>
        <v/>
      </c>
      <c r="Q32" s="364" t="str">
        <f>IF(K$12="Brue and Axe",$K32*(IF($K$13="Freely draining",IF($K$14="650-675",IF($K$15="Yes",'Data Tables'!O38,'Data Tables'!P38),IF($K$14="675-700",IF($K$15="Yes",'Data Tables'!O38,'Data Tables'!P38),IF($K$14="700-750",IF($K$15="Yes",'Data Tables'!U38,'Data Tables'!V38),IF($K$14="750-800",IF($K$15="Yes",'Data Tables'!U38,'Data Tables'!V38),IF($K$14="800-850",IF($K$15="Yes",'Data Tables'!U38,'Data Tables'!V38),IF($K$14="850-900",IF($K$15="Yes",'Data Tables'!U38,'Data Tables'!V38),IF($K$14="900-950",IF($K$15="Yes",'Data Tables'!AA38,'Data Tables'!AB38),IF($K$14="950-1000",IF($K$15="Yes",'Data Tables'!AA38,'Data Tables'!AB38),IF($K$14="1000-1100",IF($K$15="Yes",'Data Tables'!AA38,'Data Tables'!AB38),IF($K$14="1100-1200",IF($K$15="Yes",'Data Tables'!AA38,'Data Tables'!AB38),IF($K$15="Yes",'Data Tables'!AG38,'Data Tables'!AH38))))))))))),IF($K$13="Impermeable - drained for arable",IF($K$14="650-675",IF($K$15="Yes",'Data Tables'!Q38,'Data Tables'!R38),IF($K$14="675-700",IF($K$15="Yes",'Data Tables'!Q38,'Data Tables'!R38),IF($K$14="700-750",IF($K$15="Yes",'Data Tables'!W38,'Data Tables'!X38),IF($K$14="750-800",IF($K$15="Yes",'Data Tables'!W38,'Data Tables'!X38),IF($K$14="800-850",IF($K$15="Yes",'Data Tables'!W38,'Data Tables'!X38),IF($K$14="850-900",IF($K$15="Yes",'Data Tables'!W38,'Data Tables'!X38),IF($K$14="900-950",IF($K$15="Yes",'Data Tables'!AC38,'Data Tables'!AD38),IF($K$14="950-1000",IF($K$15="Yes",'Data Tables'!AC38,'Data Tables'!AD38),IF($K$14="1000-1100",IF($K$15="Yes",'Data Tables'!AC38,'Data Tables'!AD38),IF($K$14="1100-1200",IF($K$15="Yes",'Data Tables'!AC38,'Data Tables'!AD38),IF($K$15="Yes",'Data Tables'!AI38,'Data Tables'!AJ38))))))))))),IF($K$14="650-675",IF($K$15="Yes",'Data Tables'!S38,'Data Tables'!T38),IF($K$14="675-700",IF($K$15="Yes",'Data Tables'!S38,'Data Tables'!T38),IF($K$14="700-750",IF($K$15="Yes",'Data Tables'!Y38,'Data Tables'!Z38),IF($K$14="750-800",IF($K$15="Yes",'Data Tables'!Y38,'Data Tables'!Z38),IF($K$14="800-850",IF($K$15="Yes",'Data Tables'!Y38,'Data Tables'!Z38),IF($K$14="850-900",IF($K$15="Yes",'Data Tables'!Y38,'Data Tables'!Z38),IF($K$14="900-950",IF($K$15="Yes",'Data Tables'!AE38,'Data Tables'!AF38),IF($K$14="950-1000",IF($K$15="Yes",'Data Tables'!AE38,'Data Tables'!AF38),IF($K$14="1000-1100",IF($K$15="Yes",'Data Tables'!AE38,'Data Tables'!AF38),IF($K$14="1100-1200",IF($K$15="Yes",'Data Tables'!AE38,'Data Tables'!AF38),IF($K$15="Yes",'Data Tables'!AK38,'Data Tables'!AL38)))))))))))))),"")</f>
        <v/>
      </c>
      <c r="R32" s="201"/>
      <c r="S32" s="47" t="s">
        <v>223</v>
      </c>
      <c r="T32" s="6"/>
      <c r="V32" s="357">
        <f>IF($K$12="Tone",(1*(IF($K$13="Freely draining",IF($K$14="650-675",IF($K$15="Yes",'Data Tables'!O14,'Data Tables'!P14),IF($K$14="675-700",IF($K$15="Yes",'Data Tables'!O14,'Data Tables'!P14),IF($K$14="700-750",IF($K$15="Yes",'Data Tables'!U14,'Data Tables'!V14),IF($K$14="750-800",IF($K$15="Yes",'Data Tables'!U14,'Data Tables'!V14),IF($K$14="800-850",IF($K$15="Yes",'Data Tables'!U14,'Data Tables'!V14),IF($K$14="850-900",IF($K$15="Yes",'Data Tables'!U14,'Data Tables'!V14),IF($K$14="900-950",IF($K$15="Yes",'Data Tables'!AA14,'Data Tables'!AB14),IF($K$14="950-1000",IF($K$15="Yes",'Data Tables'!AA14,'Data Tables'!AB14),IF($K$14="1000-1100",IF($K$15="Yes",'Data Tables'!AA14,'Data Tables'!AB14),IF($K$14="1100-1200",IF($K$15="Yes",'Data Tables'!AA14,'Data Tables'!AB14),IF($K$15="Yes",'Data Tables'!AG14,'Data Tables'!AH14))))))))))),IF($K$13="Impermeable - drained for arable",IF($K$14="650-675",IF($K$15="Yes",'Data Tables'!Q14,'Data Tables'!R14),IF($K$14="675-700",IF($K$15="Yes",'Data Tables'!Q14,'Data Tables'!R14),IF($K$14="700-750",IF($K$15="Yes",'Data Tables'!W14,'Data Tables'!X14),IF($K$14="750-800",IF($K$15="Yes",'Data Tables'!W14,'Data Tables'!X14),IF($K$14="800-850",IF($K$15="Yes",'Data Tables'!W14,'Data Tables'!X14),IF($K$14="850-900",IF($K$15="Yes",'Data Tables'!W14,'Data Tables'!X14),IF($K$14="900-950",IF($K$15="Yes",'Data Tables'!AC14,'Data Tables'!AD14),IF($K$14="950-1000",IF($K$15="Yes",'Data Tables'!AC14,'Data Tables'!AD14),IF($K$14="1000-1100",IF($K$15="Yes",'Data Tables'!AC14,'Data Tables'!AD14),IF($K$14="1100-1200",IF($K$15="Yes",'Data Tables'!AC14,'Data Tables'!AD14),IF($K$15="Yes",'Data Tables'!AI14,'Data Tables'!AJ14))))))))))),IF($K$14="650-675",IF($K$15="Yes",'Data Tables'!S14,'Data Tables'!T14),IF($K$14="675-700",IF($K$15="Yes",'Data Tables'!S14,'Data Tables'!T14),IF($K$14="700-750",IF($K$15="Yes",'Data Tables'!Y14,'Data Tables'!Z14),IF($K$14="750-800",IF($K$15="Yes",'Data Tables'!Y14,'Data Tables'!Z14),IF($K$14="800-850",IF($K$15="Yes",'Data Tables'!Y14,'Data Tables'!Z14),IF($K$14="850-900",IF($K$15="Yes",'Data Tables'!Y14,'Data Tables'!Z14),IF($K$14="900-950",IF($K$15="Yes",'Data Tables'!AE14,'Data Tables'!AF14),IF($K$14="950-1000",IF($K$15="Yes",'Data Tables'!AE14,'Data Tables'!AF14),IF($K$14="1000-1100",IF($K$15="Yes",'Data Tables'!AE14,'Data Tables'!AF14),IF($K$14="1100-1200",IF($K$15="Yes",'Data Tables'!AE14,'Data Tables'!AF14),IF($K$15="Yes",'Data Tables'!AK14,'Data Tables'!AL14))))))))))))))),"")</f>
        <v>0.16</v>
      </c>
      <c r="W32" s="360" t="str">
        <f>IF($K$12="Parrett",(1*(IF($K$13="Freely draining",IF($K$14="650-675",IF($K$15="Yes",'Data Tables'!O26,'Data Tables'!P26),IF($K$14="675-700",IF($K$15="Yes",'Data Tables'!O26,'Data Tables'!P26),IF($K$14="700-750",IF($K$15="Yes",'Data Tables'!U26,'Data Tables'!V26),IF($K$14="750-800",IF($K$15="Yes",'Data Tables'!U26,'Data Tables'!V26),IF($K$14="800-850",IF($K$15="Yes",'Data Tables'!U26,'Data Tables'!V26),IF($K$14="850-900",IF($K$15="Yes",'Data Tables'!U26,'Data Tables'!V26),IF($K$14="900-950",IF($K$15="Yes",'Data Tables'!AA26,'Data Tables'!AB26),IF($K$14="950-1000",IF($K$15="Yes",'Data Tables'!AA26,'Data Tables'!AB26),IF($K$14="1000-1100",IF($K$15="Yes",'Data Tables'!AA26,'Data Tables'!AB26),IF($K$14="1100-1200",IF($K$15="Yes",'Data Tables'!AA26,'Data Tables'!AB26),IF($K$15="Yes",'Data Tables'!AG26,'Data Tables'!AH26))))))))))),IF($K$13="Impermeable - drained for arable",IF($K$14="650-675",IF($K$15="Yes",'Data Tables'!Q26,'Data Tables'!R26),IF($K$14="675-700",IF($K$15="Yes",'Data Tables'!Q26,'Data Tables'!R26),IF($K$14="700-750",IF($K$15="Yes",'Data Tables'!W26,'Data Tables'!X26),IF($K$14="750-800",IF($K$15="Yes",'Data Tables'!W26,'Data Tables'!X26),IF($K$14="800-850",IF($K$15="Yes",'Data Tables'!W26,'Data Tables'!X26),IF($K$14="850-900",IF($K$15="Yes",'Data Tables'!W26,'Data Tables'!X26),IF($K$14="900-950",IF($K$15="Yes",'Data Tables'!AC26,'Data Tables'!AD26),IF($K$14="950-1000",IF($K$15="Yes",'Data Tables'!AC26,'Data Tables'!AD26),IF($K$14="1000-1100",IF($K$15="Yes",'Data Tables'!AC26,'Data Tables'!AD26),IF($K$14="1100-1200",IF($K$15="Yes",'Data Tables'!AC26,'Data Tables'!AD26),IF($K$15="Yes",'Data Tables'!AI26,'Data Tables'!AJ26))))))))))),IF($K$14="650-675",IF($K$15="Yes",'Data Tables'!S26,'Data Tables'!T26),IF($K$14="675-700",IF($K$15="Yes",'Data Tables'!S26,'Data Tables'!T26),IF($K$14="700-750",IF($K$15="Yes",'Data Tables'!Y26,'Data Tables'!Z26),IF($K$14="750-800",IF($K$15="Yes",'Data Tables'!Y26,'Data Tables'!Z26),IF($K$14="800-850",IF($K$15="Yes",'Data Tables'!Y26,'Data Tables'!Z26),IF($K$14="850-900",IF($K$15="Yes",'Data Tables'!Y26,'Data Tables'!Z26),IF($K$14="900-950",IF($K$15="Yes",'Data Tables'!AE26,'Data Tables'!AF26),IF($K$14="950-1000",IF($K$15="Yes",'Data Tables'!AE26,'Data Tables'!AF26),IF($K$14="1000-1100",IF($K$15="Yes",'Data Tables'!AE26,'Data Tables'!AF26),IF($K$14="1100-1200",IF($K$15="Yes",'Data Tables'!AE26,'Data Tables'!AF26),IF($K$15="Yes",'Data Tables'!AK26,'Data Tables'!AL26))))))))))))))),"")</f>
        <v/>
      </c>
      <c r="X32" s="361" t="str">
        <f>IF(K$12="Brue and Axe",1*(IF($K$13="Freely draining",IF($K$14="650-675",IF($K$15="Yes",'Data Tables'!O38,'Data Tables'!P38),IF($K$14="675-700",IF($K$15="Yes",'Data Tables'!O38,'Data Tables'!P38),IF($K$14="700-750",IF($K$15="Yes",'Data Tables'!U38,'Data Tables'!V38),IF($K$14="750-800",IF($K$15="Yes",'Data Tables'!U38,'Data Tables'!V38),IF($K$14="800-850",IF($K$15="Yes",'Data Tables'!U38,'Data Tables'!V38),IF($K$14="850-900",IF($K$15="Yes",'Data Tables'!U38,'Data Tables'!V38),IF($K$14="900-950",IF($K$15="Yes",'Data Tables'!AA38,'Data Tables'!AB38),IF($K$14="950-1000",IF($K$15="Yes",'Data Tables'!AA38,'Data Tables'!AB38),IF($K$14="1000-1100",IF($K$15="Yes",'Data Tables'!AA38,'Data Tables'!AB38),IF($K$14="1100-1200",IF($K$15="Yes",'Data Tables'!AA38,'Data Tables'!AB38),IF($K$15="Yes",'Data Tables'!AG38,'Data Tables'!AH38))))))))))),IF($K$13="Impermeable - drained for arable",IF($K$14="650-675",IF($K$15="Yes",'Data Tables'!Q38,'Data Tables'!R38),IF($K$14="675-700",IF($K$15="Yes",'Data Tables'!Q38,'Data Tables'!R38),IF($K$14="700-750",IF($K$15="Yes",'Data Tables'!W38,'Data Tables'!X38),IF($K$14="750-800",IF($K$15="Yes",'Data Tables'!W38,'Data Tables'!X38),IF($K$14="800-850",IF($K$15="Yes",'Data Tables'!W38,'Data Tables'!X38),IF($K$14="850-900",IF($K$15="Yes",'Data Tables'!W38,'Data Tables'!X38),IF($K$14="900-950",IF($K$15="Yes",'Data Tables'!AC38,'Data Tables'!AD38),IF($K$14="950-1000",IF($K$15="Yes",'Data Tables'!AC38,'Data Tables'!AD38),IF($K$14="1000-1100",IF($K$15="Yes",'Data Tables'!AC38,'Data Tables'!AD38),IF($K$14="1100-1200",IF($K$15="Yes",'Data Tables'!AC38,'Data Tables'!AD38),IF($K$15="Yes",'Data Tables'!AI38,'Data Tables'!AJ38))))))))))),IF($K$14="650-675",IF($K$15="Yes",'Data Tables'!S38,'Data Tables'!T38),IF($K$14="675-700",IF($K$15="Yes",'Data Tables'!S38,'Data Tables'!T38),IF($K$14="700-750",IF($K$15="Yes",'Data Tables'!Y38,'Data Tables'!Z38),IF($K$14="750-800",IF($K$15="Yes",'Data Tables'!Y38,'Data Tables'!Z38),IF($K$14="800-850",IF($K$15="Yes",'Data Tables'!Y38,'Data Tables'!Z38),IF($K$14="850-900",IF($K$15="Yes",'Data Tables'!Y38,'Data Tables'!Z38),IF($K$14="900-950",IF($K$15="Yes",'Data Tables'!AE38,'Data Tables'!AF38),IF($K$14="950-1000",IF($K$15="Yes",'Data Tables'!AE38,'Data Tables'!AF38),IF($K$14="1000-1100",IF($K$15="Yes",'Data Tables'!AE38,'Data Tables'!AF38),IF($K$14="1100-1200",IF($K$15="Yes",'Data Tables'!AE38,'Data Tables'!AF38),IF($K$15="Yes",'Data Tables'!AK38,'Data Tables'!AL38)))))))))))))),"")</f>
        <v/>
      </c>
      <c r="Y32" s="353"/>
      <c r="Z32" s="354" t="b">
        <f t="shared" si="0"/>
        <v>0</v>
      </c>
      <c r="AA32" s="354" t="b">
        <f t="shared" si="1"/>
        <v>1</v>
      </c>
      <c r="AB32" s="354" t="b">
        <f t="shared" si="2"/>
        <v>1</v>
      </c>
      <c r="AC32" s="13"/>
      <c r="AD32" s="13"/>
      <c r="AE32" s="13"/>
      <c r="AF32" s="13"/>
      <c r="AG32" s="13"/>
      <c r="AH32" s="13"/>
    </row>
    <row r="33" spans="2:35" ht="14.45" customHeight="1">
      <c r="B33" s="4"/>
      <c r="C33" s="40"/>
      <c r="D33" s="149"/>
      <c r="E33" s="47"/>
      <c r="F33" s="394" t="s">
        <v>231</v>
      </c>
      <c r="G33" s="394"/>
      <c r="H33" s="394"/>
      <c r="I33" s="394"/>
      <c r="J33" s="394"/>
      <c r="K33" s="349"/>
      <c r="L33" s="161" t="s">
        <v>222</v>
      </c>
      <c r="M33" s="47"/>
      <c r="N33" s="47"/>
      <c r="O33" s="244">
        <f>IF(K12="Tone",K33*'Data Tables'!L5,"")</f>
        <v>0</v>
      </c>
      <c r="P33" s="244" t="str">
        <f>IF(K12="Parrett",K33*'Data Tables'!L5,"")</f>
        <v/>
      </c>
      <c r="Q33" s="244" t="str">
        <f>IF(K12="Brue and Axe",K33*'Data Tables'!L5,"")</f>
        <v/>
      </c>
      <c r="R33" s="201"/>
      <c r="S33" s="47" t="s">
        <v>223</v>
      </c>
      <c r="T33" s="6"/>
      <c r="V33" s="357">
        <f>IF(K12="Tone",1*'Data Tables'!L5,"")</f>
        <v>0.02</v>
      </c>
      <c r="W33" s="362" t="str">
        <f>IF(K12="Parrett",1*'Data Tables'!L5,"")</f>
        <v/>
      </c>
      <c r="X33" s="363" t="str">
        <f>IF(K12="Brue and Axe",1*'Data Tables'!L5,"")</f>
        <v/>
      </c>
      <c r="Y33" s="352"/>
      <c r="Z33" s="354" t="b">
        <f t="shared" si="0"/>
        <v>0</v>
      </c>
      <c r="AA33" s="354" t="b">
        <f t="shared" si="1"/>
        <v>1</v>
      </c>
      <c r="AB33" s="354" t="b">
        <f t="shared" si="2"/>
        <v>1</v>
      </c>
    </row>
    <row r="34" spans="2:35" ht="14.45" customHeight="1">
      <c r="B34" s="4"/>
      <c r="C34" s="40"/>
      <c r="D34" s="149"/>
      <c r="E34" s="47"/>
      <c r="F34" s="394" t="s">
        <v>232</v>
      </c>
      <c r="G34" s="394"/>
      <c r="H34" s="394"/>
      <c r="I34" s="394"/>
      <c r="J34" s="394"/>
      <c r="K34" s="349"/>
      <c r="L34" s="161" t="s">
        <v>222</v>
      </c>
      <c r="M34" s="47"/>
      <c r="N34" s="47"/>
      <c r="O34" s="244">
        <f>IF(K12="Tone",K34*'Data Tables'!L4,"")</f>
        <v>0</v>
      </c>
      <c r="P34" s="244" t="str">
        <f>IF(K12="Parrett",K34*'Data Tables'!L4,"")</f>
        <v/>
      </c>
      <c r="Q34" s="244" t="str">
        <f>IF(K12="Brue and Axe",K34*'Data Tables'!L4,"")</f>
        <v/>
      </c>
      <c r="R34" s="201"/>
      <c r="S34" s="47" t="s">
        <v>223</v>
      </c>
      <c r="T34" s="6"/>
      <c r="V34" s="357">
        <f>IF(K12="Tone",1*'Data Tables'!L4,"")</f>
        <v>0.02</v>
      </c>
      <c r="W34" s="362" t="str">
        <f>IF(K12="Parrett",1*'Data Tables'!L4,"")</f>
        <v/>
      </c>
      <c r="X34" s="363" t="str">
        <f>IF(K12="Brue and Axe",1*'Data Tables'!L4,"")</f>
        <v/>
      </c>
      <c r="Y34" s="352"/>
      <c r="Z34" s="354" t="b">
        <f t="shared" si="0"/>
        <v>0</v>
      </c>
      <c r="AA34" s="354" t="b">
        <f t="shared" si="1"/>
        <v>1</v>
      </c>
      <c r="AB34" s="354" t="b">
        <f t="shared" si="2"/>
        <v>1</v>
      </c>
    </row>
    <row r="35" spans="2:35" ht="14.45" customHeight="1">
      <c r="B35" s="4"/>
      <c r="C35" s="40"/>
      <c r="D35" s="149"/>
      <c r="E35" s="47"/>
      <c r="F35" s="394" t="s">
        <v>233</v>
      </c>
      <c r="G35" s="394"/>
      <c r="H35" s="394"/>
      <c r="I35" s="394"/>
      <c r="J35" s="394"/>
      <c r="K35" s="349"/>
      <c r="L35" s="161" t="s">
        <v>222</v>
      </c>
      <c r="M35" s="47"/>
      <c r="N35" s="47"/>
      <c r="O35" s="244">
        <f>IF(K12="Tone",K35*'Data Tables'!L6,"")</f>
        <v>0</v>
      </c>
      <c r="P35" s="244" t="str">
        <f>IF(K12="Parrett",K35*'Data Tables'!L6,"")</f>
        <v/>
      </c>
      <c r="Q35" s="244" t="str">
        <f>IF(K12="Brue and Axe",K35*'Data Tables'!L6,"")</f>
        <v/>
      </c>
      <c r="R35" s="201"/>
      <c r="S35" s="47" t="s">
        <v>223</v>
      </c>
      <c r="T35" s="6"/>
      <c r="V35" s="357">
        <f>IF(K12="Tone",1*'Data Tables'!L6,"")</f>
        <v>0.02</v>
      </c>
      <c r="W35" s="362" t="str">
        <f>IF(K12="Parrett",1*'Data Tables'!L6,"")</f>
        <v/>
      </c>
      <c r="X35" s="363" t="str">
        <f>IF(K12="Brue and Axe",1*'Data Tables'!L6,"")</f>
        <v/>
      </c>
      <c r="Y35" s="354"/>
      <c r="Z35" s="354" t="b">
        <f t="shared" si="0"/>
        <v>0</v>
      </c>
      <c r="AA35" s="354" t="b">
        <f t="shared" si="1"/>
        <v>1</v>
      </c>
      <c r="AB35" s="354" t="b">
        <f t="shared" si="2"/>
        <v>1</v>
      </c>
      <c r="AC35" s="337"/>
      <c r="AD35" s="337"/>
      <c r="AE35" s="337"/>
      <c r="AF35" s="337"/>
      <c r="AG35" s="337"/>
      <c r="AH35" s="337"/>
    </row>
    <row r="36" spans="2:35" ht="14.45" customHeight="1">
      <c r="B36" s="4"/>
      <c r="C36" s="40"/>
      <c r="D36" s="149"/>
      <c r="E36" s="47"/>
      <c r="F36" s="394" t="s">
        <v>73</v>
      </c>
      <c r="G36" s="394"/>
      <c r="H36" s="394"/>
      <c r="I36" s="394"/>
      <c r="J36" s="394"/>
      <c r="K36" s="349"/>
      <c r="L36" s="161" t="s">
        <v>222</v>
      </c>
      <c r="M36" s="47"/>
      <c r="N36" s="47"/>
      <c r="O36" s="244">
        <f>IF(K12="Tone",K36*'Data Tables'!L7,"")</f>
        <v>0</v>
      </c>
      <c r="P36" s="244" t="str">
        <f>IF(K12="Parrett",K36*'Data Tables'!L7,"")</f>
        <v/>
      </c>
      <c r="Q36" s="244" t="str">
        <f>IF(K12="Brue and Axe",K36*'Data Tables'!L7,"")</f>
        <v/>
      </c>
      <c r="R36" s="201"/>
      <c r="S36" s="47" t="s">
        <v>223</v>
      </c>
      <c r="T36" s="6"/>
      <c r="V36" s="357">
        <f>IF(K12="Tone",1*'Data Tables'!L7,"")</f>
        <v>0</v>
      </c>
      <c r="W36" s="362" t="str">
        <f>IF(K12="Parrett",1*'Data Tables'!L7,"")</f>
        <v/>
      </c>
      <c r="X36" s="363" t="str">
        <f>IF(K12="Brue and Axe",1*'Data Tables'!L7,"")</f>
        <v/>
      </c>
      <c r="Y36" s="356"/>
      <c r="Z36" s="354" t="b">
        <f t="shared" si="0"/>
        <v>1</v>
      </c>
      <c r="AA36" s="354" t="b">
        <f t="shared" si="1"/>
        <v>1</v>
      </c>
      <c r="AB36" s="354" t="b">
        <f t="shared" si="2"/>
        <v>1</v>
      </c>
      <c r="AC36" s="70"/>
      <c r="AD36" s="70"/>
      <c r="AE36" s="70"/>
      <c r="AF36" s="70"/>
      <c r="AG36" s="70"/>
      <c r="AH36" s="70"/>
      <c r="AI36" s="70"/>
    </row>
    <row r="37" spans="2:35" ht="7.5" customHeight="1">
      <c r="B37" s="4"/>
      <c r="C37" s="40"/>
      <c r="D37" s="149"/>
      <c r="E37" s="47"/>
      <c r="F37" s="448" t="s">
        <v>234</v>
      </c>
      <c r="G37" s="448"/>
      <c r="H37" s="448"/>
      <c r="I37" s="448"/>
      <c r="J37" s="448"/>
      <c r="K37" s="47"/>
      <c r="L37" s="161"/>
      <c r="M37" s="47"/>
      <c r="N37" s="47"/>
      <c r="O37" s="103"/>
      <c r="P37" s="103"/>
      <c r="Q37" s="103"/>
      <c r="R37" s="47"/>
      <c r="S37" s="47"/>
      <c r="T37" s="6"/>
      <c r="W37" s="13"/>
      <c r="X37" s="13"/>
      <c r="Y37" s="13"/>
      <c r="Z37" s="13"/>
      <c r="AA37" s="13"/>
      <c r="AB37" s="13"/>
      <c r="AC37" s="13"/>
      <c r="AD37" s="13"/>
      <c r="AE37" s="13"/>
      <c r="AF37" s="13"/>
      <c r="AG37" s="13"/>
      <c r="AH37" s="13"/>
    </row>
    <row r="38" spans="2:35" ht="15.6">
      <c r="B38" s="4"/>
      <c r="C38" s="40"/>
      <c r="D38" s="149"/>
      <c r="E38" s="47"/>
      <c r="F38" s="448"/>
      <c r="G38" s="448"/>
      <c r="H38" s="448"/>
      <c r="I38" s="448"/>
      <c r="J38" s="448"/>
      <c r="K38" s="203">
        <f>SUM(K19:K36)</f>
        <v>0</v>
      </c>
      <c r="L38" s="167" t="s">
        <v>222</v>
      </c>
      <c r="M38" s="47"/>
      <c r="N38" s="47"/>
      <c r="O38" s="188">
        <f>IF($K12="Tone",(SUM(O20)*(1-($K44/100)))+(1-($K43/100))*SUM(O21:O22,O19)+SUM(O23:O36),"")</f>
        <v>0</v>
      </c>
      <c r="P38" s="188" t="str">
        <f>IF($K12="Parrett",(SUM(P20)*(1-($K44/100)))+(1-($K43/100))*SUM(P21:P22,P19)+SUM(P23:P36),"")</f>
        <v/>
      </c>
      <c r="Q38" s="188" t="str">
        <f>IF($K12="Brue and Axe",(SUM(Q20)*(1-($K44/100)))+(1-($K43/100))*SUM(Q21:Q22,Q19)+SUM(Q23:Q36),"")</f>
        <v/>
      </c>
      <c r="R38" s="47"/>
      <c r="S38" s="37" t="s">
        <v>223</v>
      </c>
      <c r="T38" s="6"/>
      <c r="W38" s="13"/>
      <c r="X38" s="13"/>
      <c r="Y38" s="13"/>
      <c r="Z38" s="13"/>
      <c r="AA38" s="13"/>
      <c r="AB38" s="13"/>
      <c r="AC38" s="13"/>
      <c r="AD38" s="13"/>
      <c r="AE38" s="13"/>
      <c r="AF38" s="13"/>
      <c r="AG38" s="13"/>
      <c r="AH38" s="13"/>
    </row>
    <row r="39" spans="2:35" ht="15.6">
      <c r="B39" s="4"/>
      <c r="C39" s="40"/>
      <c r="D39" s="149"/>
      <c r="E39" s="47"/>
      <c r="F39" s="167"/>
      <c r="G39" s="167"/>
      <c r="H39" s="167"/>
      <c r="I39" s="167"/>
      <c r="J39" s="167"/>
      <c r="K39" s="306"/>
      <c r="L39" s="307"/>
      <c r="M39" s="308"/>
      <c r="N39" s="308"/>
      <c r="O39" s="226"/>
      <c r="P39" s="226"/>
      <c r="Q39" s="226"/>
      <c r="R39" s="47"/>
      <c r="S39" s="37"/>
      <c r="T39" s="6"/>
      <c r="W39" s="13"/>
      <c r="X39" s="13"/>
      <c r="Y39" s="13"/>
      <c r="Z39" s="13"/>
      <c r="AA39" s="13"/>
      <c r="AB39" s="13"/>
      <c r="AC39" s="13"/>
      <c r="AD39" s="13"/>
      <c r="AE39" s="13"/>
      <c r="AF39" s="13"/>
      <c r="AG39" s="13"/>
      <c r="AH39" s="13"/>
    </row>
    <row r="40" spans="2:35" ht="15.6">
      <c r="B40" s="4"/>
      <c r="C40" s="40"/>
      <c r="D40" s="149"/>
      <c r="E40" s="47"/>
      <c r="F40" s="105" t="s">
        <v>235</v>
      </c>
      <c r="G40" s="167"/>
      <c r="H40" s="167"/>
      <c r="I40" s="167"/>
      <c r="J40" s="167"/>
      <c r="K40" s="306"/>
      <c r="L40" s="307"/>
      <c r="M40" s="308"/>
      <c r="N40" s="308"/>
      <c r="O40" s="309"/>
      <c r="P40" s="309"/>
      <c r="Q40" s="309"/>
      <c r="R40" s="47"/>
      <c r="S40" s="37"/>
      <c r="T40" s="6"/>
      <c r="W40" s="13"/>
      <c r="X40" s="13"/>
      <c r="Y40" s="13"/>
      <c r="Z40" s="13"/>
      <c r="AA40" s="13"/>
      <c r="AB40" s="13"/>
      <c r="AC40" s="13"/>
      <c r="AD40" s="13"/>
      <c r="AE40" s="13"/>
      <c r="AF40" s="13"/>
      <c r="AG40" s="13"/>
      <c r="AH40" s="13"/>
    </row>
    <row r="41" spans="2:35" ht="78.75" customHeight="1">
      <c r="B41" s="4"/>
      <c r="C41" s="40"/>
      <c r="D41" s="149"/>
      <c r="E41" s="47"/>
      <c r="F41" s="447" t="s">
        <v>236</v>
      </c>
      <c r="G41" s="447"/>
      <c r="H41" s="447"/>
      <c r="I41" s="447"/>
      <c r="J41" s="447"/>
      <c r="K41" s="447"/>
      <c r="L41" s="447"/>
      <c r="M41" s="447"/>
      <c r="N41" s="447"/>
      <c r="O41" s="308"/>
      <c r="P41" s="308"/>
      <c r="Q41" s="308"/>
      <c r="R41" s="47"/>
      <c r="S41" s="47"/>
      <c r="T41" s="6"/>
      <c r="V41" s="13"/>
      <c r="W41" s="13"/>
      <c r="X41" s="13"/>
      <c r="Y41" s="13"/>
      <c r="Z41" s="13"/>
      <c r="AA41" s="13"/>
      <c r="AB41" s="13"/>
      <c r="AC41" s="13"/>
      <c r="AD41" s="13"/>
      <c r="AE41" s="13"/>
      <c r="AF41" s="13"/>
      <c r="AG41" s="13"/>
      <c r="AH41" s="13"/>
    </row>
    <row r="42" spans="2:35" ht="15.6">
      <c r="B42" s="4"/>
      <c r="C42" s="40"/>
      <c r="D42" s="149"/>
      <c r="E42" s="47"/>
      <c r="F42" s="301"/>
      <c r="G42" s="301"/>
      <c r="H42" s="301"/>
      <c r="I42" s="301"/>
      <c r="J42" s="301"/>
      <c r="K42" s="301"/>
      <c r="L42" s="301"/>
      <c r="M42" s="301"/>
      <c r="N42" s="301"/>
      <c r="O42" s="308"/>
      <c r="P42" s="308"/>
      <c r="Q42" s="308"/>
      <c r="R42" s="47"/>
      <c r="S42" s="47"/>
      <c r="T42" s="6"/>
      <c r="V42" s="13"/>
      <c r="W42" s="13"/>
      <c r="X42" s="13"/>
      <c r="Y42" s="13"/>
      <c r="Z42" s="13"/>
      <c r="AA42" s="13"/>
      <c r="AB42" s="13"/>
      <c r="AC42" s="13"/>
      <c r="AD42" s="13"/>
      <c r="AE42" s="13"/>
      <c r="AF42" s="13"/>
      <c r="AG42" s="13"/>
      <c r="AH42" s="13"/>
    </row>
    <row r="43" spans="2:35" ht="15.6">
      <c r="B43" s="4"/>
      <c r="C43" s="40"/>
      <c r="D43" s="149"/>
      <c r="E43" s="47"/>
      <c r="F43" s="394" t="s">
        <v>237</v>
      </c>
      <c r="G43" s="394"/>
      <c r="H43" s="394"/>
      <c r="I43" s="394"/>
      <c r="J43" s="394"/>
      <c r="K43" s="160"/>
      <c r="L43" s="103" t="s">
        <v>162</v>
      </c>
      <c r="M43" s="301"/>
      <c r="N43" s="301"/>
      <c r="O43" s="308"/>
      <c r="P43" s="308"/>
      <c r="Q43" s="308"/>
      <c r="R43" s="47"/>
      <c r="S43" s="47"/>
      <c r="T43" s="6"/>
      <c r="V43" s="13"/>
      <c r="W43" s="13"/>
      <c r="X43" s="13"/>
      <c r="Y43" s="13"/>
      <c r="Z43" s="13"/>
      <c r="AA43" s="13"/>
      <c r="AB43" s="13"/>
      <c r="AC43" s="13"/>
      <c r="AD43" s="13"/>
      <c r="AE43" s="13"/>
      <c r="AF43" s="13"/>
      <c r="AG43" s="13"/>
      <c r="AH43" s="13"/>
    </row>
    <row r="44" spans="2:35" ht="15.6">
      <c r="B44" s="4"/>
      <c r="C44" s="40"/>
      <c r="D44" s="149"/>
      <c r="E44" s="47"/>
      <c r="F44" s="433" t="s">
        <v>238</v>
      </c>
      <c r="G44" s="433"/>
      <c r="H44" s="433"/>
      <c r="I44" s="433"/>
      <c r="J44" s="433"/>
      <c r="K44" s="347">
        <f>IF(K20="",0,IF('Stage 2'!K20&gt;0,85,K43))</f>
        <v>0</v>
      </c>
      <c r="L44" s="103" t="s">
        <v>162</v>
      </c>
      <c r="M44" s="47"/>
      <c r="N44" s="47"/>
      <c r="O44" s="47"/>
      <c r="P44" s="47"/>
      <c r="Q44" s="47"/>
      <c r="R44" s="47"/>
      <c r="S44" s="47"/>
      <c r="T44" s="6"/>
      <c r="V44" s="13"/>
      <c r="W44" s="13"/>
      <c r="X44" s="13"/>
      <c r="Y44" s="13"/>
      <c r="Z44" s="13"/>
      <c r="AA44" s="13"/>
      <c r="AB44" s="13"/>
      <c r="AC44" s="13"/>
      <c r="AD44" s="13"/>
      <c r="AE44" s="13"/>
      <c r="AF44" s="13"/>
      <c r="AG44" s="13"/>
      <c r="AH44" s="13"/>
    </row>
    <row r="45" spans="2:35" ht="8.25" customHeight="1">
      <c r="B45" s="4"/>
      <c r="C45" s="40"/>
      <c r="D45" s="149"/>
      <c r="E45" s="189"/>
      <c r="F45" s="189"/>
      <c r="G45" s="189"/>
      <c r="H45" s="189"/>
      <c r="I45" s="189"/>
      <c r="J45" s="189"/>
      <c r="K45" s="189"/>
      <c r="L45" s="189"/>
      <c r="M45" s="189"/>
      <c r="N45" s="189"/>
      <c r="O45" s="189"/>
      <c r="P45" s="189"/>
      <c r="Q45" s="189"/>
      <c r="R45" s="189"/>
      <c r="S45" s="189"/>
      <c r="T45" s="6"/>
      <c r="W45" s="13"/>
      <c r="X45" s="13"/>
      <c r="Y45" s="13"/>
      <c r="Z45" s="13"/>
      <c r="AA45" s="13"/>
      <c r="AB45" s="13"/>
      <c r="AC45" s="13"/>
      <c r="AD45" s="13"/>
      <c r="AE45" s="13"/>
      <c r="AF45" s="13"/>
      <c r="AG45" s="13"/>
      <c r="AH45" s="13"/>
    </row>
    <row r="46" spans="2:35" ht="23.45" customHeight="1">
      <c r="B46" s="4"/>
      <c r="C46" s="40"/>
      <c r="D46" s="149"/>
      <c r="E46" s="46" t="s">
        <v>239</v>
      </c>
      <c r="F46" s="47" t="s">
        <v>240</v>
      </c>
      <c r="G46" s="47"/>
      <c r="H46" s="47"/>
      <c r="I46" s="47"/>
      <c r="J46" s="47"/>
      <c r="K46" s="159"/>
      <c r="L46" s="159"/>
      <c r="M46" s="159"/>
      <c r="N46" s="159"/>
      <c r="O46" s="159"/>
      <c r="P46" s="159"/>
      <c r="Q46" s="159"/>
      <c r="R46" s="159"/>
      <c r="S46" s="159"/>
      <c r="T46" s="6"/>
      <c r="W46" s="13"/>
      <c r="X46" s="13"/>
      <c r="Y46" s="13"/>
      <c r="Z46" s="13"/>
      <c r="AA46" s="13"/>
      <c r="AB46" s="13"/>
      <c r="AC46" s="13"/>
      <c r="AD46" s="13"/>
      <c r="AE46" s="13"/>
      <c r="AF46" s="13"/>
      <c r="AG46" s="13"/>
      <c r="AH46" s="13"/>
    </row>
    <row r="47" spans="2:35" ht="13.5" customHeight="1">
      <c r="B47" s="4"/>
      <c r="C47" s="40"/>
      <c r="D47" s="149"/>
      <c r="E47" s="46"/>
      <c r="F47" s="47"/>
      <c r="G47" s="47"/>
      <c r="H47" s="47"/>
      <c r="I47" s="47"/>
      <c r="J47" s="47"/>
      <c r="K47" s="103" t="s">
        <v>145</v>
      </c>
      <c r="L47" s="103" t="s">
        <v>146</v>
      </c>
      <c r="M47" s="159"/>
      <c r="N47" s="159"/>
      <c r="O47" s="159"/>
      <c r="P47" s="159"/>
      <c r="Q47" s="159"/>
      <c r="R47" s="159"/>
      <c r="S47" s="159"/>
      <c r="T47" s="6"/>
      <c r="W47" s="13"/>
      <c r="X47" s="13"/>
      <c r="Y47" s="13"/>
      <c r="Z47" s="13"/>
      <c r="AA47" s="13"/>
      <c r="AB47" s="13"/>
      <c r="AC47" s="13"/>
      <c r="AD47" s="13"/>
      <c r="AE47" s="13"/>
      <c r="AF47" s="13"/>
      <c r="AG47" s="13"/>
      <c r="AH47" s="13"/>
    </row>
    <row r="48" spans="2:35" ht="15" customHeight="1">
      <c r="B48" s="4"/>
      <c r="C48" s="40"/>
      <c r="D48" s="149"/>
      <c r="E48" s="47"/>
      <c r="F48" s="393" t="s">
        <v>241</v>
      </c>
      <c r="G48" s="393"/>
      <c r="H48" s="393"/>
      <c r="I48" s="393"/>
      <c r="J48" s="393"/>
      <c r="K48" s="204">
        <f>IF(K12="Tone",O38,IF(K12="Parrett",P38,Q38))</f>
        <v>0</v>
      </c>
      <c r="L48" s="167" t="s">
        <v>223</v>
      </c>
      <c r="M48" s="149"/>
      <c r="N48" s="149"/>
      <c r="O48" s="149"/>
      <c r="P48" s="149"/>
      <c r="Q48" s="149"/>
      <c r="R48" s="149"/>
      <c r="S48" s="149"/>
      <c r="T48" s="6"/>
    </row>
    <row r="49" spans="2:20" ht="6" customHeight="1">
      <c r="B49" s="4"/>
      <c r="C49" s="40"/>
      <c r="D49" s="149"/>
      <c r="E49" s="47"/>
      <c r="F49" s="393"/>
      <c r="G49" s="393"/>
      <c r="H49" s="393"/>
      <c r="I49" s="393"/>
      <c r="J49" s="393"/>
      <c r="K49" s="152"/>
      <c r="L49" s="205"/>
      <c r="M49" s="149"/>
      <c r="N49" s="149"/>
      <c r="O49" s="149"/>
      <c r="P49" s="149"/>
      <c r="Q49" s="149"/>
      <c r="R49" s="149"/>
      <c r="S49" s="149"/>
      <c r="T49" s="6"/>
    </row>
    <row r="50" spans="2:20" ht="3" customHeight="1" thickBot="1">
      <c r="B50" s="7"/>
      <c r="C50" s="49"/>
      <c r="D50" s="49"/>
      <c r="E50" s="54"/>
      <c r="F50" s="91"/>
      <c r="G50" s="91"/>
      <c r="H50" s="91"/>
      <c r="I50" s="91"/>
      <c r="J50" s="91"/>
      <c r="K50" s="49"/>
      <c r="L50" s="49"/>
      <c r="M50" s="49"/>
      <c r="N50" s="49"/>
      <c r="O50" s="49"/>
      <c r="P50" s="49"/>
      <c r="Q50" s="49"/>
      <c r="R50" s="49"/>
      <c r="S50" s="49"/>
      <c r="T50" s="9"/>
    </row>
  </sheetData>
  <sheetProtection algorithmName="SHA-512" hashValue="dPZqhUMSzzrRzd1z6JhnkJzeY/7gMQc6BQodEyEMENDPfiqwKVsCUrsG4o0cNkxcvm3q4g8U1u+kRDSUzOpc+g==" saltValue="lkRcqzHtvNSg2TXO5RDvig==" spinCount="100000" sheet="1" objects="1" scenarios="1" selectLockedCells="1"/>
  <mergeCells count="34">
    <mergeCell ref="F41:N41"/>
    <mergeCell ref="F43:J43"/>
    <mergeCell ref="F48:J48"/>
    <mergeCell ref="F49:J49"/>
    <mergeCell ref="F37:J38"/>
    <mergeCell ref="F44:J44"/>
    <mergeCell ref="F36:J36"/>
    <mergeCell ref="F21:J21"/>
    <mergeCell ref="F35:J35"/>
    <mergeCell ref="F23:J23"/>
    <mergeCell ref="F25:J25"/>
    <mergeCell ref="F26:J26"/>
    <mergeCell ref="F27:J27"/>
    <mergeCell ref="F22:J22"/>
    <mergeCell ref="F29:J29"/>
    <mergeCell ref="F30:J30"/>
    <mergeCell ref="F33:J33"/>
    <mergeCell ref="F28:J28"/>
    <mergeCell ref="F31:J31"/>
    <mergeCell ref="F34:J34"/>
    <mergeCell ref="F32:J32"/>
    <mergeCell ref="F24:J24"/>
    <mergeCell ref="F13:J13"/>
    <mergeCell ref="AC19:AH19"/>
    <mergeCell ref="F3:M3"/>
    <mergeCell ref="F19:J19"/>
    <mergeCell ref="E4:S6"/>
    <mergeCell ref="D10:S10"/>
    <mergeCell ref="F8:J8"/>
    <mergeCell ref="F12:J12"/>
    <mergeCell ref="F14:J14"/>
    <mergeCell ref="F15:J15"/>
    <mergeCell ref="O17:Q17"/>
    <mergeCell ref="E16:S16"/>
  </mergeCells>
  <conditionalFormatting sqref="O19:O36 O38">
    <cfRule type="expression" dxfId="51" priority="7">
      <formula>$K$12="Tone"</formula>
    </cfRule>
  </conditionalFormatting>
  <conditionalFormatting sqref="P19:P36">
    <cfRule type="expression" dxfId="50" priority="1">
      <formula>$K$12="Parrett"</formula>
    </cfRule>
  </conditionalFormatting>
  <conditionalFormatting sqref="P38">
    <cfRule type="expression" dxfId="49" priority="6">
      <formula>$K$12="Parrett"</formula>
    </cfRule>
  </conditionalFormatting>
  <conditionalFormatting sqref="Q19:Q36 Q38">
    <cfRule type="expression" dxfId="48" priority="5">
      <formula>$K$12="Brue and Axe"</formula>
    </cfRule>
  </conditionalFormatting>
  <conditionalFormatting sqref="W19:W36">
    <cfRule type="expression" dxfId="47" priority="2">
      <formula>$K$12="Parrett"</formula>
    </cfRule>
  </conditionalFormatting>
  <dataValidations disablePrompts="1" count="4">
    <dataValidation type="list" allowBlank="1" showInputMessage="1" showErrorMessage="1" sqref="K14" xr:uid="{D1AD0D84-DAE2-48CF-8459-2AFE976C8347}">
      <formula1>"650-675,675-700,700-750,750-800,800-850,850-900, 900-950, 950-1000, 1000-1100, 1100-1200, 1200-1400"</formula1>
    </dataValidation>
    <dataValidation type="list" allowBlank="1" showInputMessage="1" showErrorMessage="1" sqref="K15" xr:uid="{FE8B5C82-C02A-47B7-8EE2-9179853B1E3E}">
      <formula1>"Yes,No"</formula1>
    </dataValidation>
    <dataValidation type="list" allowBlank="1" showInputMessage="1" showErrorMessage="1" sqref="K13" xr:uid="{95DBBD21-A5BD-40D8-A813-6FA56B6CAA4D}">
      <formula1>"Freely draining, Impermeable - drained for arable, Impermeable - drained for arable and grassland"</formula1>
    </dataValidation>
    <dataValidation type="list" allowBlank="1" showInputMessage="1" showErrorMessage="1" sqref="K12" xr:uid="{9CA65DA3-8EC1-4DE8-A2A5-6475F79E0D5C}">
      <formula1>"Tone, Parrett, Brue and Axe"</formula1>
    </dataValidation>
  </dataValidations>
  <pageMargins left="0.70866141732283472" right="0.70866141732283472" top="0.74803149606299213" bottom="0.74803149606299213" header="0.31496062992125984" footer="0.31496062992125984"/>
  <pageSetup paperSize="9" scale="35" orientation="portrait" r:id="rId1"/>
  <headerFooter>
    <oddHeader>&amp;LPhosphate Budget Calculator&amp;CStage 2</oddHeader>
    <oddFooter>&amp;LVersion 3&amp;R&amp;D</oddFooter>
  </headerFooter>
  <customProperties>
    <customPr name="SSC_SHEET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16C26-AF18-4444-BA7E-03F79DCDA09D}">
  <sheetPr codeName="Sheet5">
    <tabColor rgb="FFD6F4FE"/>
    <pageSetUpPr fitToPage="1"/>
  </sheetPr>
  <dimension ref="A1:T56"/>
  <sheetViews>
    <sheetView zoomScale="85" zoomScaleNormal="85" workbookViewId="0">
      <selection activeCell="K10" sqref="K10"/>
    </sheetView>
  </sheetViews>
  <sheetFormatPr defaultColWidth="0" defaultRowHeight="12.6"/>
  <cols>
    <col min="1" max="1" width="9.140625" customWidth="1"/>
    <col min="2" max="3" width="0.85546875" customWidth="1"/>
    <col min="4" max="4" width="2.28515625" customWidth="1"/>
    <col min="5" max="5" width="8.28515625" customWidth="1"/>
    <col min="6" max="8" width="9.140625" customWidth="1"/>
    <col min="9" max="9" width="12.28515625" customWidth="1"/>
    <col min="10" max="10" width="12.140625" customWidth="1"/>
    <col min="11" max="11" width="9.85546875" customWidth="1"/>
    <col min="12" max="12" width="12.5703125" customWidth="1"/>
    <col min="13" max="13" width="5.42578125" customWidth="1"/>
    <col min="14" max="14" width="0.85546875" customWidth="1"/>
    <col min="15" max="15" width="5.5703125" customWidth="1"/>
    <col min="16" max="16" width="6.85546875" hidden="1" customWidth="1"/>
    <col min="17" max="17" width="15.140625" hidden="1" customWidth="1"/>
    <col min="18" max="16384" width="9.140625" hidden="1"/>
  </cols>
  <sheetData>
    <row r="1" spans="1:18" ht="13.5" thickBot="1">
      <c r="A1" s="38" t="s">
        <v>23</v>
      </c>
    </row>
    <row r="2" spans="1:18" ht="3.75" customHeight="1">
      <c r="B2" s="1"/>
      <c r="C2" s="2"/>
      <c r="D2" s="2"/>
      <c r="E2" s="2"/>
      <c r="F2" s="2"/>
      <c r="G2" s="2"/>
      <c r="H2" s="2"/>
      <c r="I2" s="2"/>
      <c r="J2" s="2"/>
      <c r="K2" s="2"/>
      <c r="L2" s="2"/>
      <c r="M2" s="2"/>
      <c r="N2" s="3"/>
    </row>
    <row r="3" spans="1:18" ht="28.5" customHeight="1">
      <c r="B3" s="44"/>
      <c r="C3" s="151"/>
      <c r="D3" s="66"/>
      <c r="E3" s="119" t="s">
        <v>23</v>
      </c>
      <c r="F3" s="440" t="s">
        <v>242</v>
      </c>
      <c r="G3" s="440"/>
      <c r="H3" s="440"/>
      <c r="I3" s="440"/>
      <c r="J3" s="440"/>
      <c r="K3" s="440"/>
      <c r="L3" s="440"/>
      <c r="M3" s="440"/>
      <c r="N3" s="6"/>
    </row>
    <row r="4" spans="1:18" ht="18.75" customHeight="1">
      <c r="B4" s="44"/>
      <c r="C4" s="196"/>
      <c r="D4" s="104"/>
      <c r="E4" s="434" t="s">
        <v>243</v>
      </c>
      <c r="F4" s="434"/>
      <c r="G4" s="434"/>
      <c r="H4" s="434"/>
      <c r="I4" s="434"/>
      <c r="J4" s="434"/>
      <c r="K4" s="434"/>
      <c r="L4" s="434"/>
      <c r="M4" s="434"/>
      <c r="N4" s="6"/>
    </row>
    <row r="5" spans="1:18" ht="15.6">
      <c r="B5" s="44"/>
      <c r="C5" s="196"/>
      <c r="D5" s="104"/>
      <c r="E5" s="434"/>
      <c r="F5" s="434"/>
      <c r="G5" s="434"/>
      <c r="H5" s="434"/>
      <c r="I5" s="434"/>
      <c r="J5" s="434"/>
      <c r="K5" s="434"/>
      <c r="L5" s="434"/>
      <c r="M5" s="434"/>
      <c r="N5" s="6"/>
    </row>
    <row r="6" spans="1:18" ht="47.25" customHeight="1">
      <c r="B6" s="44"/>
      <c r="C6" s="149"/>
      <c r="D6" s="47"/>
      <c r="E6" s="434"/>
      <c r="F6" s="434"/>
      <c r="G6" s="434"/>
      <c r="H6" s="434"/>
      <c r="I6" s="434"/>
      <c r="J6" s="434"/>
      <c r="K6" s="434"/>
      <c r="L6" s="434"/>
      <c r="M6" s="434"/>
      <c r="N6" s="6"/>
    </row>
    <row r="7" spans="1:18" ht="17.25" customHeight="1">
      <c r="B7" s="44"/>
      <c r="C7" s="149"/>
      <c r="D7" s="180"/>
      <c r="E7" s="180"/>
      <c r="F7" s="180"/>
      <c r="G7" s="180"/>
      <c r="H7" s="180"/>
      <c r="I7" s="180"/>
      <c r="J7" s="180"/>
      <c r="K7" s="180"/>
      <c r="L7" s="180"/>
      <c r="M7" s="180"/>
      <c r="N7" s="6"/>
    </row>
    <row r="8" spans="1:18" ht="15.6">
      <c r="B8" s="44"/>
      <c r="C8" s="149"/>
      <c r="D8" s="47"/>
      <c r="E8" s="46" t="s">
        <v>143</v>
      </c>
      <c r="F8" s="394" t="s">
        <v>244</v>
      </c>
      <c r="G8" s="394"/>
      <c r="H8" s="394"/>
      <c r="I8" s="394"/>
      <c r="J8" s="394"/>
      <c r="K8" s="103" t="s">
        <v>145</v>
      </c>
      <c r="L8" s="103" t="s">
        <v>146</v>
      </c>
      <c r="M8" s="47"/>
      <c r="N8" s="6"/>
    </row>
    <row r="9" spans="1:18" ht="12.75" customHeight="1">
      <c r="B9" s="44"/>
      <c r="C9" s="149"/>
      <c r="D9" s="47"/>
      <c r="E9" s="46"/>
      <c r="F9" s="47"/>
      <c r="G9" s="47"/>
      <c r="H9" s="47"/>
      <c r="I9" s="47"/>
      <c r="J9" s="47"/>
      <c r="K9" s="103"/>
      <c r="L9" s="103"/>
      <c r="M9" s="47"/>
      <c r="N9" s="6"/>
    </row>
    <row r="10" spans="1:18" ht="14.25" customHeight="1">
      <c r="B10" s="44"/>
      <c r="C10" s="149"/>
      <c r="D10" s="47"/>
      <c r="E10" s="46"/>
      <c r="F10" s="47" t="s">
        <v>39</v>
      </c>
      <c r="G10" s="47"/>
      <c r="H10" s="47"/>
      <c r="I10" s="47"/>
      <c r="J10" s="47"/>
      <c r="K10" s="199"/>
      <c r="L10" s="161" t="s">
        <v>222</v>
      </c>
      <c r="M10" s="47"/>
      <c r="N10" s="6"/>
      <c r="Q10" s="352">
        <f>K10*R10</f>
        <v>0</v>
      </c>
      <c r="R10" s="353">
        <f>SUM('Stage 2'!V19,'Stage 2'!W19,'Stage 2'!X19)</f>
        <v>2.101714976899999</v>
      </c>
    </row>
    <row r="11" spans="1:18" ht="14.25" customHeight="1">
      <c r="B11" s="44"/>
      <c r="C11" s="149"/>
      <c r="D11" s="47"/>
      <c r="E11" s="46"/>
      <c r="F11" s="47" t="s">
        <v>224</v>
      </c>
      <c r="G11" s="47"/>
      <c r="H11" s="47"/>
      <c r="I11" s="47"/>
      <c r="J11" s="47"/>
      <c r="K11" s="199"/>
      <c r="L11" s="161" t="s">
        <v>222</v>
      </c>
      <c r="M11" s="47"/>
      <c r="N11" s="6"/>
      <c r="Q11" s="352">
        <f t="shared" ref="Q11:Q27" si="0">K11*R11</f>
        <v>0</v>
      </c>
      <c r="R11" s="353">
        <f>SUM('Stage 2'!V20,'Stage 2'!W20,'Stage 2'!X20)</f>
        <v>2.101714976899999</v>
      </c>
    </row>
    <row r="12" spans="1:18" ht="14.25" customHeight="1">
      <c r="B12" s="44"/>
      <c r="C12" s="149"/>
      <c r="D12" s="47"/>
      <c r="E12" s="46"/>
      <c r="F12" s="47" t="s">
        <v>225</v>
      </c>
      <c r="G12" s="47"/>
      <c r="H12" s="47"/>
      <c r="I12" s="47"/>
      <c r="J12" s="47"/>
      <c r="K12" s="199"/>
      <c r="L12" s="161" t="s">
        <v>222</v>
      </c>
      <c r="M12" s="47"/>
      <c r="N12" s="6"/>
      <c r="Q12" s="352">
        <f t="shared" si="0"/>
        <v>0</v>
      </c>
      <c r="R12" s="353">
        <f>SUM('Stage 2'!V21,'Stage 2'!W21,'Stage 2'!X21)</f>
        <v>1.5378402269999996</v>
      </c>
    </row>
    <row r="13" spans="1:18" ht="14.25" customHeight="1">
      <c r="B13" s="44"/>
      <c r="C13" s="149"/>
      <c r="D13" s="47"/>
      <c r="E13" s="46"/>
      <c r="F13" s="47" t="s">
        <v>45</v>
      </c>
      <c r="G13" s="47"/>
      <c r="H13" s="47"/>
      <c r="I13" s="47"/>
      <c r="J13" s="47"/>
      <c r="K13" s="199"/>
      <c r="L13" s="161" t="s">
        <v>222</v>
      </c>
      <c r="M13" s="47"/>
      <c r="N13" s="6"/>
      <c r="Q13" s="352">
        <f t="shared" si="0"/>
        <v>0</v>
      </c>
      <c r="R13" s="353">
        <f>SUM('Stage 2'!V22,'Stage 2'!W22,'Stage 2'!X22)</f>
        <v>1.1277494997999997</v>
      </c>
    </row>
    <row r="14" spans="1:18" ht="14.25" customHeight="1">
      <c r="B14" s="44"/>
      <c r="C14" s="149"/>
      <c r="D14" s="47"/>
      <c r="E14" s="46"/>
      <c r="F14" s="47" t="s">
        <v>49</v>
      </c>
      <c r="G14" s="47"/>
      <c r="H14" s="47"/>
      <c r="I14" s="47"/>
      <c r="J14" s="47"/>
      <c r="K14" s="199"/>
      <c r="L14" s="161" t="s">
        <v>222</v>
      </c>
      <c r="M14" s="47"/>
      <c r="N14" s="6"/>
      <c r="Q14" s="352">
        <f t="shared" si="0"/>
        <v>0</v>
      </c>
      <c r="R14" s="353">
        <f>SUM('Stage 2'!V23,'Stage 2'!W23,'Stage 2'!X23)</f>
        <v>0.28999999999999998</v>
      </c>
    </row>
    <row r="15" spans="1:18" ht="14.25" customHeight="1">
      <c r="B15" s="44"/>
      <c r="C15" s="149"/>
      <c r="D15" s="47"/>
      <c r="E15" s="46"/>
      <c r="F15" s="47" t="s">
        <v>59</v>
      </c>
      <c r="G15" s="47"/>
      <c r="H15" s="47"/>
      <c r="I15" s="47"/>
      <c r="J15" s="47"/>
      <c r="K15" s="199"/>
      <c r="L15" s="161" t="s">
        <v>222</v>
      </c>
      <c r="M15" s="47"/>
      <c r="N15" s="6"/>
      <c r="Q15" s="352">
        <f t="shared" si="0"/>
        <v>0</v>
      </c>
      <c r="R15" s="353">
        <f>SUM('Stage 2'!V24,'Stage 2'!W24,'Stage 2'!X24)</f>
        <v>0.2</v>
      </c>
    </row>
    <row r="16" spans="1:18" ht="14.25" customHeight="1">
      <c r="B16" s="44"/>
      <c r="C16" s="149"/>
      <c r="D16" s="47"/>
      <c r="E16" s="46"/>
      <c r="F16" s="47" t="s">
        <v>226</v>
      </c>
      <c r="G16" s="47"/>
      <c r="H16" s="47"/>
      <c r="I16" s="47"/>
      <c r="J16" s="47"/>
      <c r="K16" s="199"/>
      <c r="L16" s="161" t="s">
        <v>222</v>
      </c>
      <c r="M16" s="47"/>
      <c r="N16" s="6"/>
      <c r="Q16" s="352">
        <f t="shared" si="0"/>
        <v>0</v>
      </c>
      <c r="R16" s="353">
        <f>SUM('Stage 2'!V25,'Stage 2'!W25,'Stage 2'!X25)</f>
        <v>0.26</v>
      </c>
    </row>
    <row r="17" spans="2:20" ht="14.25" customHeight="1">
      <c r="B17" s="44"/>
      <c r="C17" s="149"/>
      <c r="D17" s="47"/>
      <c r="E17" s="46"/>
      <c r="F17" s="47" t="s">
        <v>227</v>
      </c>
      <c r="G17" s="47"/>
      <c r="H17" s="47"/>
      <c r="I17" s="47"/>
      <c r="J17" s="47"/>
      <c r="K17" s="199"/>
      <c r="L17" s="161" t="s">
        <v>222</v>
      </c>
      <c r="M17" s="47"/>
      <c r="N17" s="6"/>
      <c r="Q17" s="352">
        <f t="shared" si="0"/>
        <v>0</v>
      </c>
      <c r="R17" s="353">
        <f>SUM('Stage 2'!V26,'Stage 2'!W26,'Stage 2'!X26)</f>
        <v>0.37</v>
      </c>
    </row>
    <row r="18" spans="2:20" ht="14.25" customHeight="1">
      <c r="B18" s="44"/>
      <c r="C18" s="149"/>
      <c r="D18" s="47"/>
      <c r="E18" s="46"/>
      <c r="F18" s="47" t="s">
        <v>228</v>
      </c>
      <c r="G18" s="47"/>
      <c r="H18" s="47"/>
      <c r="I18" s="47"/>
      <c r="J18" s="47"/>
      <c r="K18" s="199"/>
      <c r="L18" s="161" t="s">
        <v>222</v>
      </c>
      <c r="M18" s="47"/>
      <c r="N18" s="6"/>
      <c r="Q18" s="352">
        <f t="shared" si="0"/>
        <v>0</v>
      </c>
      <c r="R18" s="353">
        <f>SUM('Stage 2'!V27,'Stage 2'!W27,'Stage 2'!X27)</f>
        <v>0.27</v>
      </c>
    </row>
    <row r="19" spans="2:20" ht="14.25" customHeight="1">
      <c r="B19" s="44"/>
      <c r="C19" s="149"/>
      <c r="D19" s="47"/>
      <c r="E19" s="46"/>
      <c r="F19" s="47" t="s">
        <v>53</v>
      </c>
      <c r="G19" s="47"/>
      <c r="H19" s="47"/>
      <c r="I19" s="47"/>
      <c r="J19" s="47"/>
      <c r="K19" s="199"/>
      <c r="L19" s="161" t="s">
        <v>222</v>
      </c>
      <c r="M19" s="47"/>
      <c r="N19" s="6"/>
      <c r="Q19" s="352">
        <f t="shared" si="0"/>
        <v>0</v>
      </c>
      <c r="R19" s="353">
        <f>SUM('Stage 2'!V28,'Stage 2'!W28,'Stage 2'!X28)</f>
        <v>0.22</v>
      </c>
    </row>
    <row r="20" spans="2:20" ht="14.25" customHeight="1">
      <c r="B20" s="44"/>
      <c r="C20" s="149"/>
      <c r="D20" s="47"/>
      <c r="E20" s="46"/>
      <c r="F20" s="47" t="s">
        <v>51</v>
      </c>
      <c r="G20" s="47"/>
      <c r="H20" s="47"/>
      <c r="I20" s="47"/>
      <c r="J20" s="47"/>
      <c r="K20" s="199"/>
      <c r="L20" s="161" t="s">
        <v>222</v>
      </c>
      <c r="M20" s="47"/>
      <c r="N20" s="6"/>
      <c r="Q20" s="352">
        <f t="shared" si="0"/>
        <v>0</v>
      </c>
      <c r="R20" s="353">
        <f>SUM('Stage 2'!V29,'Stage 2'!W29,'Stage 2'!X29)</f>
        <v>0.28000000000000003</v>
      </c>
    </row>
    <row r="21" spans="2:20" ht="15" customHeight="1">
      <c r="B21" s="44"/>
      <c r="C21" s="149"/>
      <c r="D21" s="47"/>
      <c r="E21" s="47"/>
      <c r="F21" s="101" t="s">
        <v>229</v>
      </c>
      <c r="G21" s="101"/>
      <c r="H21" s="101"/>
      <c r="I21" s="101"/>
      <c r="J21" s="101"/>
      <c r="K21" s="199"/>
      <c r="L21" s="161" t="s">
        <v>222</v>
      </c>
      <c r="M21" s="47"/>
      <c r="N21" s="6"/>
      <c r="Q21" s="352">
        <f t="shared" si="0"/>
        <v>0</v>
      </c>
      <c r="R21" s="353">
        <f>SUM('Stage 2'!V30,'Stage 2'!W30,'Stage 2'!X30)</f>
        <v>0.22</v>
      </c>
    </row>
    <row r="22" spans="2:20" ht="15" customHeight="1">
      <c r="B22" s="44"/>
      <c r="C22" s="149"/>
      <c r="D22" s="47"/>
      <c r="E22" s="47"/>
      <c r="F22" s="101" t="s">
        <v>230</v>
      </c>
      <c r="G22" s="101"/>
      <c r="H22" s="101"/>
      <c r="I22" s="101"/>
      <c r="J22" s="101"/>
      <c r="K22" s="199"/>
      <c r="L22" s="161" t="s">
        <v>222</v>
      </c>
      <c r="M22" s="47"/>
      <c r="N22" s="6"/>
      <c r="P22" s="13"/>
      <c r="Q22" s="352">
        <f t="shared" si="0"/>
        <v>0</v>
      </c>
      <c r="R22" s="353">
        <f>SUM('Stage 2'!V31,'Stage 2'!W31,'Stage 2'!X31)</f>
        <v>0.22</v>
      </c>
      <c r="T22" s="13"/>
    </row>
    <row r="23" spans="2:20" ht="15" customHeight="1">
      <c r="B23" s="44"/>
      <c r="C23" s="149"/>
      <c r="D23" s="47"/>
      <c r="E23" s="47"/>
      <c r="F23" s="101" t="s">
        <v>57</v>
      </c>
      <c r="G23" s="101"/>
      <c r="H23" s="101"/>
      <c r="I23" s="101"/>
      <c r="J23" s="101"/>
      <c r="K23" s="199"/>
      <c r="L23" s="161" t="s">
        <v>222</v>
      </c>
      <c r="M23" s="47"/>
      <c r="N23" s="6"/>
      <c r="P23" s="13"/>
      <c r="Q23" s="352">
        <f t="shared" si="0"/>
        <v>0</v>
      </c>
      <c r="R23" s="353">
        <f>SUM('Stage 2'!V32,'Stage 2'!W32,'Stage 2'!X32)</f>
        <v>0.16</v>
      </c>
    </row>
    <row r="24" spans="2:20" ht="15" customHeight="1">
      <c r="B24" s="44"/>
      <c r="C24" s="149"/>
      <c r="D24" s="47"/>
      <c r="E24" s="47"/>
      <c r="F24" s="101" t="s">
        <v>231</v>
      </c>
      <c r="G24" s="101"/>
      <c r="H24" s="101"/>
      <c r="I24" s="101"/>
      <c r="J24" s="101"/>
      <c r="K24" s="199"/>
      <c r="L24" s="161" t="s">
        <v>222</v>
      </c>
      <c r="M24" s="47"/>
      <c r="N24" s="6"/>
      <c r="P24" s="13"/>
      <c r="Q24" s="352">
        <f t="shared" si="0"/>
        <v>0</v>
      </c>
      <c r="R24" s="353">
        <f>SUM('Stage 2'!V33,'Stage 2'!W33,'Stage 2'!X33)</f>
        <v>0.02</v>
      </c>
    </row>
    <row r="25" spans="2:20" ht="15" customHeight="1">
      <c r="B25" s="44"/>
      <c r="C25" s="149"/>
      <c r="D25" s="47"/>
      <c r="E25" s="47"/>
      <c r="F25" s="101" t="s">
        <v>232</v>
      </c>
      <c r="G25" s="101"/>
      <c r="H25" s="101"/>
      <c r="I25" s="101"/>
      <c r="J25" s="101"/>
      <c r="K25" s="199"/>
      <c r="L25" s="161" t="s">
        <v>222</v>
      </c>
      <c r="M25" s="47"/>
      <c r="N25" s="6"/>
      <c r="P25" s="13"/>
      <c r="Q25" s="352">
        <f t="shared" si="0"/>
        <v>0</v>
      </c>
      <c r="R25" s="353">
        <f>SUM('Stage 2'!V34,'Stage 2'!W34,'Stage 2'!X34)</f>
        <v>0.02</v>
      </c>
    </row>
    <row r="26" spans="2:20" ht="15" customHeight="1">
      <c r="B26" s="44"/>
      <c r="C26" s="149"/>
      <c r="D26" s="47"/>
      <c r="E26" s="47"/>
      <c r="F26" s="101" t="s">
        <v>233</v>
      </c>
      <c r="G26" s="101"/>
      <c r="H26" s="101"/>
      <c r="I26" s="101"/>
      <c r="J26" s="101"/>
      <c r="K26" s="199"/>
      <c r="L26" s="161" t="s">
        <v>222</v>
      </c>
      <c r="M26" s="47"/>
      <c r="N26" s="6"/>
      <c r="P26" s="13"/>
      <c r="Q26" s="352">
        <f t="shared" si="0"/>
        <v>0</v>
      </c>
      <c r="R26" s="353">
        <f>SUM('Stage 2'!V35,'Stage 2'!W35,'Stage 2'!X35)</f>
        <v>0.02</v>
      </c>
    </row>
    <row r="27" spans="2:20" ht="15" customHeight="1">
      <c r="B27" s="44"/>
      <c r="C27" s="149"/>
      <c r="D27" s="47"/>
      <c r="E27" s="47"/>
      <c r="F27" s="101" t="s">
        <v>73</v>
      </c>
      <c r="G27" s="101"/>
      <c r="H27" s="101"/>
      <c r="I27" s="101"/>
      <c r="J27" s="101"/>
      <c r="K27" s="199"/>
      <c r="L27" s="161" t="s">
        <v>222</v>
      </c>
      <c r="M27" s="47"/>
      <c r="N27" s="6"/>
      <c r="Q27" s="352">
        <f t="shared" si="0"/>
        <v>0</v>
      </c>
      <c r="R27" s="353">
        <f>SUM('Stage 2'!V36,'Stage 2'!W36,'Stage 2'!X36)</f>
        <v>0</v>
      </c>
    </row>
    <row r="28" spans="2:20" ht="6.95" customHeight="1">
      <c r="B28" s="44"/>
      <c r="C28" s="149"/>
      <c r="D28" s="47"/>
      <c r="E28" s="47"/>
      <c r="F28" s="47"/>
      <c r="G28" s="47"/>
      <c r="H28" s="47"/>
      <c r="I28" s="47"/>
      <c r="J28" s="47"/>
      <c r="K28" s="47"/>
      <c r="L28" s="47"/>
      <c r="M28" s="47"/>
      <c r="N28" s="6"/>
    </row>
    <row r="29" spans="2:20" ht="5.45" customHeight="1">
      <c r="B29" s="44"/>
      <c r="C29" s="149"/>
      <c r="D29" s="168"/>
      <c r="E29" s="168"/>
      <c r="F29" s="168"/>
      <c r="G29" s="168"/>
      <c r="H29" s="168"/>
      <c r="I29" s="168"/>
      <c r="J29" s="168"/>
      <c r="K29" s="168"/>
      <c r="L29" s="168"/>
      <c r="M29" s="168"/>
      <c r="N29" s="6"/>
    </row>
    <row r="30" spans="2:20" ht="3.95" customHeight="1">
      <c r="B30" s="44"/>
      <c r="C30" s="149"/>
      <c r="D30" s="47"/>
      <c r="E30" s="47"/>
      <c r="F30" s="47"/>
      <c r="G30" s="47"/>
      <c r="H30" s="47"/>
      <c r="I30" s="47"/>
      <c r="J30" s="47"/>
      <c r="K30" s="47"/>
      <c r="L30" s="47"/>
      <c r="M30" s="47"/>
      <c r="N30" s="6"/>
    </row>
    <row r="31" spans="2:20" ht="14.25" customHeight="1">
      <c r="B31" s="44"/>
      <c r="C31" s="149"/>
      <c r="D31" s="47"/>
      <c r="E31" s="46" t="s">
        <v>167</v>
      </c>
      <c r="F31" s="394" t="s">
        <v>245</v>
      </c>
      <c r="G31" s="394"/>
      <c r="H31" s="394"/>
      <c r="I31" s="394"/>
      <c r="J31" s="394"/>
      <c r="K31" s="47"/>
      <c r="L31" s="47"/>
      <c r="M31" s="47"/>
      <c r="N31" s="6"/>
    </row>
    <row r="32" spans="2:20" ht="3.95" customHeight="1">
      <c r="B32" s="44"/>
      <c r="C32" s="149"/>
      <c r="D32" s="47"/>
      <c r="E32" s="46"/>
      <c r="F32" s="47"/>
      <c r="G32" s="47"/>
      <c r="H32" s="47"/>
      <c r="I32" s="47"/>
      <c r="J32" s="47"/>
      <c r="K32" s="47"/>
      <c r="L32" s="47"/>
      <c r="M32" s="47"/>
      <c r="N32" s="6"/>
    </row>
    <row r="33" spans="2:16" ht="12" customHeight="1">
      <c r="B33" s="44"/>
      <c r="C33" s="149"/>
      <c r="D33" s="47"/>
      <c r="E33" s="47"/>
      <c r="F33" s="394" t="s">
        <v>246</v>
      </c>
      <c r="G33" s="394"/>
      <c r="H33" s="394"/>
      <c r="I33" s="394"/>
      <c r="J33" s="394"/>
      <c r="K33" s="199"/>
      <c r="L33" s="161" t="s">
        <v>222</v>
      </c>
      <c r="M33" s="47"/>
      <c r="N33" s="6"/>
    </row>
    <row r="34" spans="2:16" ht="18.75" customHeight="1">
      <c r="B34" s="44"/>
      <c r="C34" s="149"/>
      <c r="D34" s="47"/>
      <c r="E34" s="47"/>
      <c r="F34" s="394" t="s">
        <v>247</v>
      </c>
      <c r="G34" s="394"/>
      <c r="H34" s="394"/>
      <c r="I34" s="394"/>
      <c r="J34" s="394"/>
      <c r="K34" s="160"/>
      <c r="L34" s="161" t="s">
        <v>248</v>
      </c>
      <c r="M34" s="47"/>
      <c r="N34" s="6"/>
    </row>
    <row r="35" spans="2:16" ht="96.75" customHeight="1">
      <c r="B35" s="44"/>
      <c r="C35" s="149"/>
      <c r="D35" s="47"/>
      <c r="E35" s="449" t="s">
        <v>249</v>
      </c>
      <c r="F35" s="449"/>
      <c r="G35" s="449"/>
      <c r="H35" s="449"/>
      <c r="I35" s="449"/>
      <c r="J35" s="449"/>
      <c r="K35" s="449"/>
      <c r="L35" s="449"/>
      <c r="M35" s="449"/>
      <c r="N35" s="6"/>
    </row>
    <row r="36" spans="2:16" ht="7.5" customHeight="1">
      <c r="B36" s="44"/>
      <c r="C36" s="149"/>
      <c r="D36" s="168"/>
      <c r="E36" s="189"/>
      <c r="F36" s="189"/>
      <c r="G36" s="189"/>
      <c r="H36" s="189"/>
      <c r="I36" s="189"/>
      <c r="J36" s="189"/>
      <c r="K36" s="189"/>
      <c r="L36" s="189"/>
      <c r="M36" s="189"/>
      <c r="N36" s="6"/>
    </row>
    <row r="37" spans="2:16" ht="21.95" customHeight="1">
      <c r="B37" s="44"/>
      <c r="C37" s="149"/>
      <c r="D37" s="47"/>
      <c r="E37" s="46" t="s">
        <v>239</v>
      </c>
      <c r="F37" s="394" t="s">
        <v>235</v>
      </c>
      <c r="G37" s="394"/>
      <c r="H37" s="394"/>
      <c r="I37" s="394"/>
      <c r="J37" s="394"/>
      <c r="K37" s="47"/>
      <c r="L37" s="47"/>
      <c r="M37" s="47"/>
      <c r="N37" s="6"/>
    </row>
    <row r="38" spans="2:16" ht="11.25" customHeight="1">
      <c r="B38" s="44"/>
      <c r="C38" s="149"/>
      <c r="D38" s="47"/>
      <c r="E38" s="46"/>
      <c r="F38" s="47"/>
      <c r="G38" s="47"/>
      <c r="H38" s="47"/>
      <c r="I38" s="47"/>
      <c r="J38" s="47"/>
      <c r="K38" s="47"/>
      <c r="L38" s="47"/>
      <c r="M38" s="47"/>
      <c r="N38" s="6"/>
    </row>
    <row r="39" spans="2:16" ht="194.25" customHeight="1">
      <c r="B39" s="44"/>
      <c r="C39" s="149"/>
      <c r="D39" s="47"/>
      <c r="E39" s="450" t="s">
        <v>250</v>
      </c>
      <c r="F39" s="450"/>
      <c r="G39" s="450"/>
      <c r="H39" s="450"/>
      <c r="I39" s="450"/>
      <c r="J39" s="450"/>
      <c r="K39" s="450"/>
      <c r="L39" s="450"/>
      <c r="M39" s="450"/>
      <c r="N39" s="6"/>
      <c r="P39" s="13"/>
    </row>
    <row r="40" spans="2:16" ht="36" customHeight="1">
      <c r="B40" s="44"/>
      <c r="C40" s="149"/>
      <c r="D40" s="47"/>
      <c r="E40" s="447" t="s">
        <v>251</v>
      </c>
      <c r="F40" s="447"/>
      <c r="G40" s="447"/>
      <c r="H40" s="447"/>
      <c r="I40" s="447"/>
      <c r="J40" s="447"/>
      <c r="K40" s="447"/>
      <c r="L40" s="447"/>
      <c r="M40" s="447"/>
      <c r="N40" s="6"/>
      <c r="P40" s="13"/>
    </row>
    <row r="41" spans="2:16" ht="12" customHeight="1">
      <c r="B41" s="44"/>
      <c r="C41" s="149"/>
      <c r="D41" s="47"/>
      <c r="E41" s="301"/>
      <c r="F41" s="301"/>
      <c r="G41" s="301"/>
      <c r="H41" s="301"/>
      <c r="I41" s="301"/>
      <c r="J41" s="301"/>
      <c r="K41" s="301"/>
      <c r="L41" s="301"/>
      <c r="M41" s="301"/>
      <c r="N41" s="6"/>
      <c r="P41" s="13"/>
    </row>
    <row r="42" spans="2:16" ht="17.25" customHeight="1">
      <c r="B42" s="44"/>
      <c r="C42" s="149"/>
      <c r="D42" s="47"/>
      <c r="E42" s="47"/>
      <c r="F42" s="394" t="s">
        <v>237</v>
      </c>
      <c r="G42" s="394"/>
      <c r="H42" s="394"/>
      <c r="I42" s="394"/>
      <c r="J42" s="394"/>
      <c r="K42" s="160"/>
      <c r="L42" s="161" t="s">
        <v>162</v>
      </c>
      <c r="M42" s="301"/>
      <c r="N42" s="6"/>
      <c r="P42" s="13"/>
    </row>
    <row r="43" spans="2:16" ht="17.25" customHeight="1">
      <c r="B43" s="44"/>
      <c r="C43" s="149"/>
      <c r="D43" s="47"/>
      <c r="E43" s="47"/>
      <c r="F43" s="433" t="s">
        <v>238</v>
      </c>
      <c r="G43" s="433"/>
      <c r="H43" s="433"/>
      <c r="I43" s="433"/>
      <c r="J43" s="433"/>
      <c r="K43" s="350">
        <f>IF(K11="",0,IF('Stage 3'!K11&gt;0,85,K42))</f>
        <v>0</v>
      </c>
      <c r="L43" s="161" t="s">
        <v>162</v>
      </c>
      <c r="M43" s="301"/>
      <c r="N43" s="6"/>
      <c r="P43" s="13"/>
    </row>
    <row r="44" spans="2:16" ht="10.5" customHeight="1">
      <c r="B44" s="44"/>
      <c r="C44" s="149"/>
      <c r="D44" s="47"/>
      <c r="E44" s="47"/>
      <c r="F44" s="101"/>
      <c r="G44" s="101"/>
      <c r="H44" s="101"/>
      <c r="I44" s="101"/>
      <c r="J44" s="300"/>
      <c r="K44" s="295"/>
      <c r="L44" s="296"/>
      <c r="M44" s="301"/>
      <c r="N44" s="6"/>
      <c r="P44" s="13"/>
    </row>
    <row r="45" spans="2:16" ht="3" customHeight="1">
      <c r="B45" s="44"/>
      <c r="C45" s="149"/>
      <c r="D45" s="168"/>
      <c r="E45" s="305"/>
      <c r="F45" s="305"/>
      <c r="G45" s="305"/>
      <c r="H45" s="305"/>
      <c r="I45" s="305"/>
      <c r="J45" s="305"/>
      <c r="K45" s="305"/>
      <c r="L45" s="305"/>
      <c r="M45" s="305"/>
      <c r="N45" s="6"/>
      <c r="P45" s="13"/>
    </row>
    <row r="46" spans="2:16" ht="5.25" customHeight="1">
      <c r="B46" s="44"/>
      <c r="C46" s="149"/>
      <c r="D46" s="47"/>
      <c r="E46" s="301"/>
      <c r="F46" s="301"/>
      <c r="G46" s="301"/>
      <c r="H46" s="301"/>
      <c r="I46" s="301"/>
      <c r="J46" s="301"/>
      <c r="K46" s="301"/>
      <c r="L46" s="301"/>
      <c r="M46" s="301"/>
      <c r="N46" s="6"/>
      <c r="P46" s="13"/>
    </row>
    <row r="47" spans="2:16" ht="15" customHeight="1">
      <c r="B47" s="44"/>
      <c r="C47" s="149"/>
      <c r="D47" s="47"/>
      <c r="E47" s="47"/>
      <c r="F47" s="393" t="s">
        <v>252</v>
      </c>
      <c r="G47" s="393"/>
      <c r="H47" s="393"/>
      <c r="I47" s="393"/>
      <c r="J47" s="393"/>
      <c r="K47" s="203">
        <f>SUM(K10:K27)+K33</f>
        <v>0</v>
      </c>
      <c r="L47" s="167" t="s">
        <v>222</v>
      </c>
      <c r="M47" s="47"/>
      <c r="N47" s="6"/>
      <c r="P47" s="13"/>
    </row>
    <row r="48" spans="2:16" ht="57" customHeight="1">
      <c r="B48" s="44"/>
      <c r="C48" s="149"/>
      <c r="D48" s="47"/>
      <c r="E48" s="434" t="s">
        <v>253</v>
      </c>
      <c r="F48" s="434"/>
      <c r="G48" s="434"/>
      <c r="H48" s="434"/>
      <c r="I48" s="434"/>
      <c r="J48" s="434"/>
      <c r="K48" s="434"/>
      <c r="L48" s="434"/>
      <c r="M48" s="434"/>
      <c r="N48" s="6"/>
    </row>
    <row r="49" spans="2:16" ht="5.45" customHeight="1">
      <c r="B49" s="44"/>
      <c r="C49" s="149"/>
      <c r="D49" s="47"/>
      <c r="E49" s="47"/>
      <c r="F49" s="47"/>
      <c r="G49" s="47"/>
      <c r="H49" s="47"/>
      <c r="I49" s="47"/>
      <c r="J49" s="47"/>
      <c r="K49" s="47"/>
      <c r="L49" s="47"/>
      <c r="M49" s="47"/>
      <c r="N49" s="6"/>
    </row>
    <row r="50" spans="2:16" ht="15.6">
      <c r="B50" s="44"/>
      <c r="C50" s="149"/>
      <c r="D50" s="180"/>
      <c r="E50" s="180"/>
      <c r="F50" s="180"/>
      <c r="G50" s="180"/>
      <c r="H50" s="180"/>
      <c r="I50" s="180"/>
      <c r="J50" s="180"/>
      <c r="K50" s="180"/>
      <c r="L50" s="180"/>
      <c r="M50" s="180"/>
      <c r="N50" s="6"/>
      <c r="P50" s="13"/>
    </row>
    <row r="51" spans="2:16" ht="15.6">
      <c r="B51" s="44"/>
      <c r="C51" s="149"/>
      <c r="D51" s="47"/>
      <c r="E51" s="46" t="s">
        <v>201</v>
      </c>
      <c r="F51" s="394" t="s">
        <v>254</v>
      </c>
      <c r="G51" s="394"/>
      <c r="H51" s="394"/>
      <c r="I51" s="394"/>
      <c r="J51" s="394"/>
      <c r="K51" s="103" t="s">
        <v>145</v>
      </c>
      <c r="L51" s="103" t="s">
        <v>146</v>
      </c>
      <c r="M51" s="47"/>
      <c r="N51" s="6"/>
    </row>
    <row r="52" spans="2:16" ht="4.5" customHeight="1">
      <c r="B52" s="44"/>
      <c r="C52" s="149"/>
      <c r="D52" s="47"/>
      <c r="E52" s="46"/>
      <c r="F52" s="394"/>
      <c r="G52" s="394"/>
      <c r="H52" s="394"/>
      <c r="I52" s="394"/>
      <c r="J52" s="394"/>
      <c r="K52" s="103"/>
      <c r="L52" s="103"/>
      <c r="M52" s="47"/>
      <c r="N52" s="6"/>
    </row>
    <row r="53" spans="2:16" ht="15.75" customHeight="1">
      <c r="B53" s="44"/>
      <c r="C53" s="149"/>
      <c r="D53" s="47"/>
      <c r="E53" s="47"/>
      <c r="F53" s="393" t="s">
        <v>255</v>
      </c>
      <c r="G53" s="393"/>
      <c r="H53" s="393"/>
      <c r="I53" s="393"/>
      <c r="J53" s="393"/>
      <c r="K53" s="206">
        <f>(SUM(Q11)*(1-(K43/100)))+(1-(K42/100))*SUM(Q12:Q13,Q10)+SUM(Q14:Q27)</f>
        <v>0</v>
      </c>
      <c r="L53" s="167" t="s">
        <v>199</v>
      </c>
      <c r="M53" s="47"/>
      <c r="N53" s="6"/>
      <c r="P53" s="13"/>
    </row>
    <row r="54" spans="2:16" ht="3.75" customHeight="1">
      <c r="B54" s="44"/>
      <c r="C54" s="149"/>
      <c r="D54" s="47"/>
      <c r="E54" s="47"/>
      <c r="F54" s="393"/>
      <c r="G54" s="393"/>
      <c r="H54" s="393"/>
      <c r="I54" s="393"/>
      <c r="J54" s="393"/>
      <c r="K54" s="47"/>
      <c r="L54" s="47"/>
      <c r="M54" s="47"/>
      <c r="N54" s="6"/>
    </row>
    <row r="55" spans="2:16" ht="4.5" customHeight="1" thickBot="1">
      <c r="B55" s="7"/>
      <c r="C55" s="207"/>
      <c r="D55" s="207"/>
      <c r="E55" s="207"/>
      <c r="F55" s="207"/>
      <c r="G55" s="207"/>
      <c r="H55" s="207"/>
      <c r="I55" s="207"/>
      <c r="J55" s="207"/>
      <c r="K55" s="207"/>
      <c r="L55" s="207"/>
      <c r="M55" s="207"/>
      <c r="N55" s="9"/>
    </row>
    <row r="56" spans="2:16">
      <c r="K56" s="351">
        <f>((($K10*_xlfn.XLOOKUP('Stage 2'!$K$14,'Data Tables'!$V$42:$V$52,'Data Tables'!$Y$42:$Y$52)+($K11*_xlfn.XLOOKUP('Stage 2'!$K$14,'Data Tables'!$V$42:$V$52,'Data Tables'!$W$42:$W$52))+($K22*IF('Stage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Tables'!AC52))))))))))))*(1-(K43/100)))+(K25*'Data Tables'!L4)+(K24*'Data Tables'!L5)+(K26*'Data Tables'!L6)+(K27*'Data Tables'!L7)+(K33*-K34)+(IF('Stage 2'!$K$12="Tone",($K23*(IF('Stage 2'!$K$14="650-675",'Data Tables'!O13,IF('Stage 2'!$K$14="675-700",'Data Tables'!O13,IF('Stage 2'!$K$14="700-750",'Data Tables'!U13,IF('Stage 2'!$K$14="750-800",'Data Tables'!U13,IF('Stage 2'!$K$14="800-850",'Data Tables'!U13,IF('Stage 2'!$K$14="850-900",'Data Tables'!U13,IF('Stage 2'!$K$14="900-950",'Data Tables'!AA13,IF('Stage 2'!$K$14="950-1000",'Data Tables'!AA13,IF('Stage 2'!$K$14="1000-1100",'Data Tables'!AA13,IF('Stage 2'!$K$14="1100-1200",'Data Tables'!AA13,'Data Tables'!AG13)))))))))))),IF('Stage 2'!$K$12="Parrett",($K23*(IF('Stage 2'!$K$14="650-675",'Data Tables'!O25,IF('Stage 2'!$K$14="675-700",'Data Tables'!O25,IF('Stage 2'!$K$14="700-750",'Data Tables'!U25,IF('Stage 2'!$K$14="750-800",'Data Tables'!U25,IF('Stage 2'!$K$14="800-850",'Data Tables'!U25,IF('Stage 2'!$K$14="850-900",'Data Tables'!U25,IF('Stage 2'!$K$14="900-950",'Data Tables'!AA25,IF('Stage 2'!$K$14="950-1000",'Data Tables'!AA25,IF('Stage 2'!$K$14="1000-1100",'Data Tables'!AA25,IF('Stage 2'!$K$14="1100-1200",'Data Tables'!AA25,'Data Tables'!AG25)))))))))))),($K23*(IF('Stage 2'!$K$14="650-675",'Data Tables'!O37,IF('Stage 2'!$K$14="675-700",'Data Tables'!O37,IF('Stage 2'!$K$14="700-750",'Data Tables'!U37,IF('Stage 2'!$K$14="750-800",'Data Tables'!U37,IF('Stage 2'!$K$14="800-850",'Data Tables'!U37,IF('Stage 2'!$K$14="850-900",'Data Tables'!U37,IF('Stage 2'!$K$14="900-950",'Data Tables'!AA37,IF('Stage 2'!$K$14="950-1000",'Data Tables'!AA37,IF('Stage 2'!$K$14="1000-1100",'Data Tables'!AA37,IF('Stage 2'!$K$14="1100-1200",'Data Tables'!AA37,'Data Tables'!AG37))))))))))))))))</f>
        <v>0</v>
      </c>
    </row>
  </sheetData>
  <sheetProtection sheet="1" selectLockedCells="1"/>
  <mergeCells count="17">
    <mergeCell ref="F43:J43"/>
    <mergeCell ref="F3:M3"/>
    <mergeCell ref="E4:M6"/>
    <mergeCell ref="F8:J8"/>
    <mergeCell ref="F54:J54"/>
    <mergeCell ref="F47:J47"/>
    <mergeCell ref="F51:J52"/>
    <mergeCell ref="F53:J53"/>
    <mergeCell ref="F31:J31"/>
    <mergeCell ref="F33:J33"/>
    <mergeCell ref="F34:J34"/>
    <mergeCell ref="E35:M35"/>
    <mergeCell ref="E48:M48"/>
    <mergeCell ref="F37:J37"/>
    <mergeCell ref="F42:J42"/>
    <mergeCell ref="E39:M39"/>
    <mergeCell ref="E40:M40"/>
  </mergeCells>
  <hyperlinks>
    <hyperlink ref="E35:M35" r:id="rId1" display="Note: Where wetlands are proposed, please input the banking coefficient (i.e. the phosphorus removal amount in kg/ha/yr) calculated for the designed wetland. The calculated value should be justifiable with supporting evidence. Wetland refers to specific designed wetland and not SuDS. For further information on the designing constructed wetlands and deriving the phosphorus removal rate, please refer to the Constructed wetland hub" xr:uid="{CA753AE6-6410-455F-8AEF-4E8EF7EA2E3E}"/>
    <hyperlink ref="E39:M39" r:id="rId2" display="https://www.ciria.org/CIRIA/CIRIA/Item_Detail.aspx?iProductCode=C808F&amp;Category=FREEPUBS" xr:uid="{7BC3C48C-BC36-4145-B550-34FB72BB8551}"/>
  </hyperlinks>
  <pageMargins left="0.70866141732283472" right="0.70866141732283472" top="0.74803149606299213" bottom="0.74803149606299213" header="0.31496062992125984" footer="0.31496062992125984"/>
  <pageSetup paperSize="9" scale="66" orientation="portrait" r:id="rId3"/>
  <headerFooter>
    <oddHeader>&amp;LPhosphate Budget Calculator&amp;CStage 3</oddHeader>
    <oddFooter>&amp;LVersion 3&amp;R&amp;D</oddFooter>
  </headerFooter>
  <customProperties>
    <customPr name="SSC_SHEET_GUID" r:id="rId4"/>
  </customProperties>
  <extLst>
    <ext xmlns:x14="http://schemas.microsoft.com/office/spreadsheetml/2009/9/main" uri="{78C0D931-6437-407d-A8EE-F0AAD7539E65}">
      <x14:conditionalFormattings>
        <x14:conditionalFormatting xmlns:xm="http://schemas.microsoft.com/office/excel/2006/main">
          <x14:cfRule type="expression" priority="2" id="{47A5DCE0-4702-4DA3-A88C-F2557BBBB656}">
            <xm:f>$K$47='Stage 2'!$K$38</xm:f>
            <x14:dxf>
              <fill>
                <patternFill>
                  <bgColor theme="7" tint="0.79998168889431442"/>
                </patternFill>
              </fill>
            </x14:dxf>
          </x14:cfRule>
          <xm:sqref>K43</xm:sqref>
        </x14:conditionalFormatting>
        <x14:conditionalFormatting xmlns:xm="http://schemas.microsoft.com/office/excel/2006/main">
          <x14:cfRule type="expression" priority="4" id="{00000000-000E-0000-0500-000001000000}">
            <xm:f>$K$47&gt;'Stage 2'!$K$38</xm:f>
            <x14:dxf>
              <fill>
                <patternFill>
                  <bgColor rgb="FFFF0000"/>
                </patternFill>
              </fill>
            </x14:dxf>
          </x14:cfRule>
          <x14:cfRule type="expression" priority="5" id="{00000000-000E-0000-0500-000002000000}">
            <xm:f>$K$47='Stage 2'!$K$38</xm:f>
            <x14:dxf>
              <fill>
                <patternFill>
                  <bgColor theme="7" tint="0.79998168889431442"/>
                </patternFill>
              </fill>
            </x14:dxf>
          </x14:cfRule>
          <x14:cfRule type="expression" priority="6" id="{00000000-000E-0000-0500-000003000000}">
            <xm:f>$K$47&lt;'Stage 2'!$K$38</xm:f>
            <x14:dxf>
              <fill>
                <patternFill>
                  <bgColor rgb="FFFF0000"/>
                </patternFill>
              </fill>
            </x14:dxf>
          </x14:cfRule>
          <xm:sqref>K47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A4D9-ABE7-4CB5-A613-49EAF5B63F5C}">
  <sheetPr codeName="Sheet6">
    <tabColor rgb="FFD6F4FE"/>
    <pageSetUpPr fitToPage="1"/>
  </sheetPr>
  <dimension ref="A1:AG50"/>
  <sheetViews>
    <sheetView zoomScale="24" zoomScaleNormal="100" workbookViewId="0">
      <selection activeCell="X19" sqref="X19"/>
    </sheetView>
  </sheetViews>
  <sheetFormatPr defaultColWidth="0" defaultRowHeight="12.6"/>
  <cols>
    <col min="1" max="1" width="9.140625" customWidth="1"/>
    <col min="2" max="3" width="0.85546875" customWidth="1"/>
    <col min="4" max="4" width="2.28515625" customWidth="1"/>
    <col min="5" max="5" width="9.5703125" customWidth="1"/>
    <col min="6" max="8" width="9.140625" customWidth="1"/>
    <col min="9" max="9" width="12.28515625" customWidth="1"/>
    <col min="10" max="10" width="34.140625" customWidth="1"/>
    <col min="11" max="11" width="10.85546875" customWidth="1"/>
    <col min="12" max="12" width="1.140625" customWidth="1"/>
    <col min="13" max="13" width="11.140625" customWidth="1"/>
    <col min="14" max="14" width="1.42578125" customWidth="1"/>
    <col min="15" max="15" width="11.140625" customWidth="1"/>
    <col min="16" max="16" width="11.42578125" customWidth="1"/>
    <col min="17" max="17" width="3.7109375" customWidth="1"/>
    <col min="18" max="18" width="27.140625" customWidth="1"/>
    <col min="19" max="19" width="20.85546875" customWidth="1"/>
    <col min="20" max="20" width="1.85546875" customWidth="1"/>
    <col min="21" max="21" width="0.85546875" customWidth="1"/>
    <col min="22" max="22" width="4.42578125" customWidth="1"/>
    <col min="23" max="23" width="10.140625" hidden="1" customWidth="1"/>
    <col min="24" max="25" width="9.140625" customWidth="1"/>
    <col min="26" max="33" width="0" hidden="1" customWidth="1"/>
    <col min="34" max="16384" width="9.140625" hidden="1"/>
  </cols>
  <sheetData>
    <row r="1" spans="1:33" ht="13.5" thickBot="1">
      <c r="A1" s="38" t="s">
        <v>25</v>
      </c>
    </row>
    <row r="2" spans="1:33" ht="3.75" customHeight="1">
      <c r="B2" s="1"/>
      <c r="C2" s="2"/>
      <c r="D2" s="2"/>
      <c r="E2" s="2"/>
      <c r="F2" s="2"/>
      <c r="G2" s="2"/>
      <c r="H2" s="2"/>
      <c r="I2" s="2"/>
      <c r="J2" s="2"/>
      <c r="K2" s="2"/>
      <c r="L2" s="2"/>
      <c r="M2" s="2"/>
      <c r="N2" s="2"/>
      <c r="O2" s="2"/>
      <c r="P2" s="2"/>
      <c r="Q2" s="2"/>
      <c r="R2" s="2"/>
      <c r="S2" s="2"/>
      <c r="T2" s="2"/>
      <c r="U2" s="3"/>
    </row>
    <row r="3" spans="1:33" ht="28.5" customHeight="1">
      <c r="B3" s="4"/>
      <c r="C3" s="38"/>
      <c r="D3" s="195"/>
      <c r="E3" s="119" t="s">
        <v>25</v>
      </c>
      <c r="F3" s="440" t="s">
        <v>256</v>
      </c>
      <c r="G3" s="440"/>
      <c r="H3" s="440"/>
      <c r="I3" s="440"/>
      <c r="J3" s="440"/>
      <c r="K3" s="440"/>
      <c r="L3" s="440"/>
      <c r="M3" s="440"/>
      <c r="N3" s="440"/>
      <c r="O3" s="440"/>
      <c r="P3" s="440"/>
      <c r="Q3" s="440"/>
      <c r="R3" s="440"/>
      <c r="S3" s="440"/>
      <c r="T3" s="440"/>
      <c r="U3" s="208"/>
      <c r="V3" s="20"/>
      <c r="W3" s="20"/>
      <c r="X3" s="20"/>
      <c r="Y3" s="20"/>
      <c r="Z3" s="20"/>
      <c r="AA3" s="20"/>
      <c r="AB3" s="20"/>
      <c r="AC3" s="20"/>
      <c r="AD3" s="20"/>
      <c r="AE3" s="20"/>
      <c r="AF3" s="20"/>
      <c r="AG3" s="20"/>
    </row>
    <row r="4" spans="1:33" ht="2.25" customHeight="1">
      <c r="B4" s="4"/>
      <c r="C4" s="52"/>
      <c r="D4" s="196"/>
      <c r="E4" s="451" t="s">
        <v>257</v>
      </c>
      <c r="F4" s="451"/>
      <c r="G4" s="451"/>
      <c r="H4" s="451"/>
      <c r="I4" s="451"/>
      <c r="J4" s="451"/>
      <c r="K4" s="451"/>
      <c r="L4" s="451"/>
      <c r="M4" s="451"/>
      <c r="N4" s="451"/>
      <c r="O4" s="451"/>
      <c r="P4" s="451"/>
      <c r="Q4" s="451"/>
      <c r="R4" s="451"/>
      <c r="S4" s="451"/>
      <c r="T4" s="451"/>
      <c r="U4" s="208"/>
      <c r="V4" s="20"/>
      <c r="W4" s="20"/>
      <c r="X4" s="20"/>
      <c r="Y4" s="20"/>
      <c r="Z4" s="20"/>
      <c r="AA4" s="20"/>
      <c r="AB4" s="20"/>
      <c r="AC4" s="20"/>
      <c r="AD4" s="20"/>
      <c r="AE4" s="20"/>
      <c r="AF4" s="20"/>
      <c r="AG4" s="20"/>
    </row>
    <row r="5" spans="1:33" ht="15.6">
      <c r="B5" s="4"/>
      <c r="C5" s="52"/>
      <c r="D5" s="196"/>
      <c r="E5" s="451"/>
      <c r="F5" s="451"/>
      <c r="G5" s="451"/>
      <c r="H5" s="451"/>
      <c r="I5" s="451"/>
      <c r="J5" s="451"/>
      <c r="K5" s="451"/>
      <c r="L5" s="451"/>
      <c r="M5" s="451"/>
      <c r="N5" s="451"/>
      <c r="O5" s="451"/>
      <c r="P5" s="451"/>
      <c r="Q5" s="451"/>
      <c r="R5" s="451"/>
      <c r="S5" s="451"/>
      <c r="T5" s="451"/>
      <c r="U5" s="208"/>
      <c r="V5" s="20"/>
      <c r="W5" s="20"/>
      <c r="X5" s="20"/>
      <c r="Y5" s="20"/>
      <c r="Z5" s="20"/>
      <c r="AA5" s="20"/>
      <c r="AB5" s="20"/>
      <c r="AC5" s="20"/>
      <c r="AD5" s="20"/>
      <c r="AE5" s="20"/>
      <c r="AF5" s="20"/>
      <c r="AG5" s="20"/>
    </row>
    <row r="6" spans="1:33" ht="36.75" customHeight="1">
      <c r="B6" s="4"/>
      <c r="C6" s="40"/>
      <c r="D6" s="149"/>
      <c r="E6" s="451"/>
      <c r="F6" s="451"/>
      <c r="G6" s="451"/>
      <c r="H6" s="451"/>
      <c r="I6" s="451"/>
      <c r="J6" s="451"/>
      <c r="K6" s="451"/>
      <c r="L6" s="451"/>
      <c r="M6" s="451"/>
      <c r="N6" s="451"/>
      <c r="O6" s="451"/>
      <c r="P6" s="451"/>
      <c r="Q6" s="451"/>
      <c r="R6" s="451"/>
      <c r="S6" s="451"/>
      <c r="T6" s="451"/>
      <c r="U6" s="208"/>
      <c r="V6" s="20"/>
      <c r="W6" s="20"/>
      <c r="X6" s="20"/>
      <c r="Y6" s="20"/>
      <c r="Z6" s="20"/>
      <c r="AA6" s="20"/>
      <c r="AB6" s="20"/>
      <c r="AC6" s="20"/>
      <c r="AD6" s="20"/>
      <c r="AE6" s="20"/>
      <c r="AF6" s="20"/>
      <c r="AG6" s="20"/>
    </row>
    <row r="7" spans="1:33" ht="11.25" customHeight="1">
      <c r="B7" s="4"/>
      <c r="C7" s="40"/>
      <c r="D7" s="191"/>
      <c r="E7" s="197"/>
      <c r="F7" s="197"/>
      <c r="G7" s="197"/>
      <c r="H7" s="197"/>
      <c r="I7" s="197"/>
      <c r="J7" s="197"/>
      <c r="K7" s="197"/>
      <c r="L7" s="197"/>
      <c r="M7" s="197"/>
      <c r="N7" s="197"/>
      <c r="O7" s="197"/>
      <c r="P7" s="197"/>
      <c r="Q7" s="197"/>
      <c r="R7" s="197"/>
      <c r="S7" s="197"/>
      <c r="T7" s="197"/>
      <c r="U7" s="208"/>
      <c r="V7" s="20"/>
      <c r="W7" s="20"/>
      <c r="X7" s="20"/>
      <c r="Y7" s="20"/>
      <c r="Z7" s="20"/>
      <c r="AA7" s="20"/>
      <c r="AB7" s="20"/>
      <c r="AC7" s="20"/>
      <c r="AD7" s="20"/>
      <c r="AE7" s="20"/>
      <c r="AF7" s="20"/>
      <c r="AG7" s="20"/>
    </row>
    <row r="8" spans="1:33" ht="11.25" customHeight="1">
      <c r="B8" s="4"/>
      <c r="C8" s="40"/>
      <c r="D8" s="149"/>
      <c r="E8" s="159"/>
      <c r="F8" s="159"/>
      <c r="G8" s="159"/>
      <c r="H8" s="159"/>
      <c r="I8" s="159"/>
      <c r="J8" s="159"/>
      <c r="K8" s="156" t="s">
        <v>203</v>
      </c>
      <c r="L8" s="156"/>
      <c r="M8" s="156" t="str">
        <f>IF(ISNUMBER('Stage 1'!L51),"Post 2025","")</f>
        <v/>
      </c>
      <c r="N8" s="156"/>
      <c r="O8" s="156" t="s">
        <v>204</v>
      </c>
      <c r="P8" s="159"/>
      <c r="Q8" s="159"/>
      <c r="R8" s="453" t="s">
        <v>258</v>
      </c>
      <c r="S8" s="453"/>
      <c r="T8" s="159"/>
      <c r="U8" s="208"/>
      <c r="V8" s="20"/>
      <c r="W8" s="20"/>
      <c r="X8" s="20"/>
      <c r="Y8" s="20"/>
      <c r="Z8" s="20"/>
      <c r="AA8" s="20"/>
      <c r="AB8" s="20"/>
      <c r="AC8" s="20"/>
      <c r="AD8" s="20"/>
      <c r="AE8" s="20"/>
      <c r="AF8" s="20"/>
      <c r="AG8" s="20"/>
    </row>
    <row r="9" spans="1:33" ht="11.25" customHeight="1">
      <c r="B9" s="4"/>
      <c r="C9" s="40"/>
      <c r="D9" s="149"/>
      <c r="E9" s="159"/>
      <c r="F9" s="159"/>
      <c r="G9" s="159"/>
      <c r="H9" s="159"/>
      <c r="I9" s="159"/>
      <c r="J9" s="159"/>
      <c r="K9" s="159"/>
      <c r="L9" s="159"/>
      <c r="M9" s="159"/>
      <c r="N9" s="159"/>
      <c r="O9" s="159"/>
      <c r="P9" s="159"/>
      <c r="Q9" s="159"/>
      <c r="R9" s="209" t="s">
        <v>259</v>
      </c>
      <c r="S9" s="210">
        <f>'Stage 1'!V11+'Stage 1'!V14+'Stage 1'!V17++'Stage 1'!V22</f>
        <v>0</v>
      </c>
      <c r="T9" s="159"/>
      <c r="U9" s="208"/>
      <c r="V9" s="20"/>
      <c r="W9" s="20"/>
      <c r="X9" s="20"/>
      <c r="Y9" s="20"/>
      <c r="Z9" s="20"/>
      <c r="AA9" s="20"/>
      <c r="AB9" s="20"/>
      <c r="AC9" s="20"/>
      <c r="AD9" s="20"/>
      <c r="AE9" s="20"/>
      <c r="AF9" s="20"/>
      <c r="AG9" s="20"/>
    </row>
    <row r="10" spans="1:33" ht="39.75" customHeight="1">
      <c r="B10" s="4"/>
      <c r="C10" s="53"/>
      <c r="D10" s="149"/>
      <c r="E10" s="46" t="s">
        <v>143</v>
      </c>
      <c r="F10" s="394" t="s">
        <v>260</v>
      </c>
      <c r="G10" s="394"/>
      <c r="H10" s="394"/>
      <c r="I10" s="394"/>
      <c r="J10" s="394"/>
      <c r="K10" s="103" t="s">
        <v>145</v>
      </c>
      <c r="L10" s="103"/>
      <c r="M10" s="103" t="str">
        <f>IF(ISNUMBER('Stage 1'!L51),"Value","")</f>
        <v/>
      </c>
      <c r="N10" s="103"/>
      <c r="O10" s="103" t="s">
        <v>145</v>
      </c>
      <c r="P10" s="103" t="s">
        <v>146</v>
      </c>
      <c r="Q10" s="103"/>
      <c r="R10" s="209" t="str">
        <f>IF('Stage 1'!N39="Yes","WRC location","Onsite treatment plant")</f>
        <v>Onsite treatment plant</v>
      </c>
      <c r="S10" s="211" t="str">
        <f>IF('Stage 1'!N39="Yes",'Stage 1'!K49,'Stage 1'!AD49)</f>
        <v>Default septic tank</v>
      </c>
      <c r="T10" s="47"/>
      <c r="U10" s="208"/>
      <c r="V10" s="20"/>
      <c r="W10" s="20"/>
      <c r="X10" s="20"/>
      <c r="Y10" s="20"/>
      <c r="Z10" s="20"/>
      <c r="AA10" s="20"/>
      <c r="AB10" s="20"/>
      <c r="AC10" s="20"/>
      <c r="AD10" s="20"/>
      <c r="AE10" s="20"/>
      <c r="AF10" s="20"/>
      <c r="AG10" s="20"/>
    </row>
    <row r="11" spans="1:33" ht="12" customHeight="1">
      <c r="B11" s="4"/>
      <c r="C11" s="40"/>
      <c r="D11" s="149"/>
      <c r="E11" s="47"/>
      <c r="F11" s="64"/>
      <c r="G11" s="47"/>
      <c r="H11" s="47"/>
      <c r="I11" s="47"/>
      <c r="J11" s="47"/>
      <c r="K11" s="47"/>
      <c r="L11" s="47"/>
      <c r="M11" s="47"/>
      <c r="N11" s="47"/>
      <c r="O11" s="47"/>
      <c r="P11" s="47"/>
      <c r="Q11" s="47"/>
      <c r="R11" s="209" t="s">
        <v>261</v>
      </c>
      <c r="S11" s="212">
        <f>IF('Stage 1'!N39="Yes",'Stage 1'!K51,IF(ISTEXT('Stage 1'!AD51),'Stage 1'!AE51,'Stage 1'!AD51))</f>
        <v>0</v>
      </c>
      <c r="T11" s="47"/>
      <c r="U11" s="208"/>
      <c r="V11" s="20"/>
      <c r="W11" s="20"/>
      <c r="X11" s="20"/>
      <c r="Y11" s="20"/>
      <c r="Z11" s="20"/>
      <c r="AA11" s="20"/>
      <c r="AB11" s="20"/>
      <c r="AC11" s="20"/>
      <c r="AD11" s="20"/>
      <c r="AE11" s="20"/>
      <c r="AF11" s="20"/>
      <c r="AG11" s="20"/>
    </row>
    <row r="12" spans="1:33" ht="15.6">
      <c r="B12" s="4"/>
      <c r="C12" s="40"/>
      <c r="D12" s="149"/>
      <c r="E12" s="47"/>
      <c r="F12" s="393" t="s">
        <v>262</v>
      </c>
      <c r="G12" s="393"/>
      <c r="H12" s="393"/>
      <c r="I12" s="393"/>
      <c r="J12" s="393"/>
      <c r="K12" s="192">
        <f>'Stage 1'!U65</f>
        <v>0</v>
      </c>
      <c r="L12" s="188"/>
      <c r="M12" s="213" t="str">
        <f>'Stage 1'!V65</f>
        <v/>
      </c>
      <c r="N12" s="188"/>
      <c r="O12" s="303">
        <f>'Stage 1'!W65</f>
        <v>0</v>
      </c>
      <c r="P12" s="167" t="s">
        <v>199</v>
      </c>
      <c r="Q12" s="167"/>
      <c r="R12" s="214" t="str">
        <f>IF(ISNUMBER('Stage 1'!L51),"Post 2025 TP discharge concentration","")</f>
        <v/>
      </c>
      <c r="S12" s="215" t="str">
        <f>IF('Stage 1'!$AD$39="Yes",IF(ISNUMBER('Stage 1'!AE51),'Stage 1'!AE51,""),IF(ISNUMBER('Stage 1'!L51),'Stage 1'!L51,""))</f>
        <v/>
      </c>
      <c r="T12" s="47"/>
      <c r="U12" s="208"/>
      <c r="V12" s="20"/>
      <c r="W12" s="20"/>
      <c r="X12" s="20"/>
      <c r="Y12" s="20"/>
      <c r="Z12" s="20"/>
      <c r="AA12" s="20"/>
      <c r="AB12" s="20"/>
      <c r="AC12" s="20"/>
      <c r="AD12" s="20"/>
      <c r="AE12" s="20"/>
      <c r="AF12" s="20"/>
      <c r="AG12" s="20"/>
    </row>
    <row r="13" spans="1:33" ht="15.6">
      <c r="B13" s="4"/>
      <c r="C13" s="40"/>
      <c r="D13" s="149"/>
      <c r="E13" s="47"/>
      <c r="F13" s="393"/>
      <c r="G13" s="393"/>
      <c r="H13" s="393"/>
      <c r="I13" s="393"/>
      <c r="J13" s="393"/>
      <c r="K13" s="188"/>
      <c r="L13" s="188"/>
      <c r="M13" s="188"/>
      <c r="N13" s="188"/>
      <c r="O13" s="188"/>
      <c r="P13" s="167"/>
      <c r="Q13" s="167"/>
      <c r="R13" s="214" t="s">
        <v>263</v>
      </c>
      <c r="S13" s="215">
        <f>IF('Stage 1'!N39="Yes",'Stage 1'!M51,IF(ISTEXT('Stage 1'!AD51),'Stage 1'!AE51,'Stage 1'!AD51))</f>
        <v>0</v>
      </c>
      <c r="T13" s="47"/>
      <c r="U13" s="208"/>
      <c r="V13" s="20"/>
      <c r="W13" s="20"/>
      <c r="X13" s="20"/>
      <c r="Y13" s="20"/>
      <c r="Z13" s="20"/>
      <c r="AA13" s="20"/>
      <c r="AB13" s="20"/>
      <c r="AC13" s="20"/>
      <c r="AD13" s="20"/>
      <c r="AE13" s="20"/>
      <c r="AF13" s="20"/>
      <c r="AG13" s="20"/>
    </row>
    <row r="14" spans="1:33" ht="15.6">
      <c r="B14" s="4"/>
      <c r="C14" s="40"/>
      <c r="D14" s="149"/>
      <c r="E14" s="47"/>
      <c r="F14" s="105"/>
      <c r="G14" s="105"/>
      <c r="H14" s="105"/>
      <c r="I14" s="105"/>
      <c r="J14" s="105"/>
      <c r="K14" s="188"/>
      <c r="L14" s="188"/>
      <c r="M14" s="213"/>
      <c r="N14" s="188"/>
      <c r="O14" s="213"/>
      <c r="P14" s="167"/>
      <c r="Q14" s="167"/>
      <c r="R14" s="310"/>
      <c r="S14" s="310"/>
      <c r="T14" s="47"/>
      <c r="U14" s="208"/>
      <c r="V14" s="20"/>
      <c r="W14" s="20"/>
      <c r="X14" s="20"/>
      <c r="Y14" s="20"/>
      <c r="Z14" s="20"/>
      <c r="AA14" s="20"/>
      <c r="AB14" s="20"/>
      <c r="AC14" s="20"/>
      <c r="AD14" s="20"/>
      <c r="AE14" s="20"/>
      <c r="AF14" s="20"/>
      <c r="AG14" s="20"/>
    </row>
    <row r="15" spans="1:33" ht="8.4499999999999993" customHeight="1">
      <c r="B15" s="4"/>
      <c r="C15" s="40"/>
      <c r="D15" s="149"/>
      <c r="E15" s="47"/>
      <c r="F15" s="47"/>
      <c r="G15" s="47"/>
      <c r="H15" s="47"/>
      <c r="I15" s="47"/>
      <c r="J15" s="47"/>
      <c r="K15" s="47"/>
      <c r="L15" s="47"/>
      <c r="M15" s="47"/>
      <c r="N15" s="47"/>
      <c r="O15" s="47"/>
      <c r="P15" s="47"/>
      <c r="Q15" s="47"/>
      <c r="R15" s="47"/>
      <c r="S15" s="47"/>
      <c r="T15" s="47"/>
      <c r="U15" s="208"/>
      <c r="V15" s="20"/>
      <c r="W15" s="20"/>
      <c r="X15" s="20"/>
      <c r="Y15" s="20"/>
      <c r="Z15" s="20"/>
      <c r="AA15" s="20"/>
      <c r="AB15" s="20"/>
      <c r="AC15" s="20"/>
      <c r="AD15" s="20"/>
      <c r="AE15" s="20"/>
      <c r="AF15" s="20"/>
      <c r="AG15" s="20"/>
    </row>
    <row r="16" spans="1:33" ht="12" customHeight="1">
      <c r="B16" s="4"/>
      <c r="C16" s="40"/>
      <c r="D16" s="191"/>
      <c r="E16" s="180"/>
      <c r="F16" s="180"/>
      <c r="G16" s="180"/>
      <c r="H16" s="180"/>
      <c r="I16" s="180"/>
      <c r="J16" s="180"/>
      <c r="K16" s="180"/>
      <c r="L16" s="180"/>
      <c r="M16" s="180"/>
      <c r="N16" s="180"/>
      <c r="O16" s="180"/>
      <c r="P16" s="180"/>
      <c r="Q16" s="180"/>
      <c r="R16" s="180"/>
      <c r="S16" s="180"/>
      <c r="T16" s="180"/>
      <c r="U16" s="208"/>
      <c r="V16" s="20"/>
      <c r="W16" s="20"/>
      <c r="X16" s="20"/>
      <c r="Y16" s="20"/>
      <c r="Z16" s="20"/>
      <c r="AA16" s="20"/>
      <c r="AB16" s="20"/>
      <c r="AC16" s="20"/>
      <c r="AD16" s="20"/>
      <c r="AE16" s="20"/>
      <c r="AF16" s="20"/>
      <c r="AG16" s="20"/>
    </row>
    <row r="17" spans="2:33" ht="15.6">
      <c r="B17" s="4"/>
      <c r="C17" s="40"/>
      <c r="D17" s="149"/>
      <c r="E17" s="46" t="s">
        <v>167</v>
      </c>
      <c r="F17" s="394" t="s">
        <v>264</v>
      </c>
      <c r="G17" s="394"/>
      <c r="H17" s="394"/>
      <c r="I17" s="394"/>
      <c r="J17" s="394"/>
      <c r="K17" s="103" t="s">
        <v>145</v>
      </c>
      <c r="L17" s="103"/>
      <c r="M17" s="103" t="str">
        <f>IF(ISNUMBER('Stage 1'!L51),"Value","")</f>
        <v/>
      </c>
      <c r="N17" s="103"/>
      <c r="O17" s="103" t="s">
        <v>145</v>
      </c>
      <c r="P17" s="103" t="s">
        <v>146</v>
      </c>
      <c r="Q17" s="103"/>
      <c r="R17" s="209" t="s">
        <v>265</v>
      </c>
      <c r="S17" s="212">
        <f>'Stage 2'!K48</f>
        <v>0</v>
      </c>
      <c r="T17" s="47"/>
      <c r="U17" s="208"/>
      <c r="V17" s="20"/>
      <c r="W17" s="20"/>
      <c r="X17" s="20"/>
      <c r="Y17" s="20"/>
      <c r="Z17" s="20"/>
      <c r="AA17" s="20"/>
      <c r="AB17" s="20"/>
      <c r="AC17" s="20"/>
      <c r="AD17" s="20"/>
      <c r="AE17" s="20"/>
      <c r="AF17" s="20"/>
      <c r="AG17" s="20"/>
    </row>
    <row r="18" spans="2:33" ht="3.95" customHeight="1">
      <c r="B18" s="4"/>
      <c r="C18" s="40"/>
      <c r="D18" s="149"/>
      <c r="E18" s="46"/>
      <c r="F18" s="47"/>
      <c r="G18" s="47"/>
      <c r="H18" s="47"/>
      <c r="I18" s="47"/>
      <c r="J18" s="47"/>
      <c r="K18" s="103"/>
      <c r="L18" s="103"/>
      <c r="M18" s="103"/>
      <c r="N18" s="103"/>
      <c r="O18" s="103"/>
      <c r="P18" s="103"/>
      <c r="Q18" s="103"/>
      <c r="R18" s="209"/>
      <c r="S18" s="212"/>
      <c r="T18" s="47"/>
      <c r="U18" s="208"/>
      <c r="V18" s="20"/>
      <c r="W18" s="20"/>
      <c r="X18" s="20"/>
      <c r="Y18" s="20"/>
      <c r="Z18" s="20"/>
      <c r="AA18" s="20"/>
      <c r="AB18" s="20"/>
      <c r="AC18" s="20"/>
      <c r="AD18" s="20"/>
      <c r="AE18" s="20"/>
      <c r="AF18" s="20"/>
      <c r="AG18" s="20"/>
    </row>
    <row r="19" spans="2:33" ht="15.6">
      <c r="B19" s="4"/>
      <c r="C19" s="40"/>
      <c r="D19" s="149"/>
      <c r="E19" s="47"/>
      <c r="F19" s="393" t="s">
        <v>266</v>
      </c>
      <c r="G19" s="393"/>
      <c r="H19" s="393"/>
      <c r="I19" s="393"/>
      <c r="J19" s="393"/>
      <c r="K19" s="192">
        <f>(('Stage 3'!K53)-('Stage 2'!K48))</f>
        <v>0</v>
      </c>
      <c r="L19" s="188"/>
      <c r="M19" s="216" t="str">
        <f>IF(ISNUMBER('Stage 1'!L51),(('Stage 3'!K53)-('Stage 2'!K48)),"")</f>
        <v/>
      </c>
      <c r="N19" s="188"/>
      <c r="O19" s="303">
        <f>(('Stage 3'!K53)-('Stage 2'!K48))</f>
        <v>0</v>
      </c>
      <c r="P19" s="167" t="s">
        <v>199</v>
      </c>
      <c r="Q19" s="167"/>
      <c r="R19" s="209" t="s">
        <v>267</v>
      </c>
      <c r="S19" s="212">
        <f>'Stage 3'!K53</f>
        <v>0</v>
      </c>
      <c r="T19" s="47"/>
      <c r="U19" s="208"/>
      <c r="V19" s="20"/>
      <c r="W19" s="20"/>
      <c r="X19" s="20"/>
      <c r="Y19" s="20"/>
      <c r="Z19" s="20"/>
      <c r="AA19" s="20"/>
      <c r="AB19" s="20"/>
      <c r="AC19" s="20"/>
      <c r="AD19" s="20"/>
      <c r="AE19" s="20"/>
      <c r="AF19" s="20"/>
      <c r="AG19" s="20"/>
    </row>
    <row r="20" spans="2:33" ht="10.5" customHeight="1">
      <c r="B20" s="4"/>
      <c r="C20" s="40"/>
      <c r="D20" s="149"/>
      <c r="E20" s="47"/>
      <c r="F20" s="47"/>
      <c r="G20" s="47"/>
      <c r="H20" s="47"/>
      <c r="I20" s="47"/>
      <c r="J20" s="47"/>
      <c r="K20" s="47"/>
      <c r="L20" s="47"/>
      <c r="M20" s="47"/>
      <c r="N20" s="47"/>
      <c r="O20" s="47"/>
      <c r="P20" s="47"/>
      <c r="Q20" s="47"/>
      <c r="R20" s="47"/>
      <c r="S20" s="47"/>
      <c r="T20" s="47"/>
      <c r="U20" s="208"/>
      <c r="V20" s="20"/>
      <c r="W20" s="20"/>
      <c r="X20" s="20"/>
      <c r="Y20" s="20"/>
      <c r="Z20" s="20"/>
      <c r="AA20" s="20"/>
      <c r="AB20" s="20"/>
      <c r="AC20" s="20"/>
      <c r="AD20" s="20"/>
      <c r="AE20" s="20"/>
      <c r="AF20" s="20"/>
      <c r="AG20" s="20"/>
    </row>
    <row r="21" spans="2:33" ht="15.6">
      <c r="B21" s="4"/>
      <c r="C21" s="40"/>
      <c r="D21" s="149"/>
      <c r="E21" s="180"/>
      <c r="F21" s="180"/>
      <c r="G21" s="180"/>
      <c r="H21" s="180"/>
      <c r="I21" s="180"/>
      <c r="J21" s="180"/>
      <c r="K21" s="180"/>
      <c r="L21" s="180"/>
      <c r="M21" s="180"/>
      <c r="N21" s="180"/>
      <c r="O21" s="180"/>
      <c r="P21" s="180"/>
      <c r="Q21" s="180"/>
      <c r="R21" s="180"/>
      <c r="S21" s="180"/>
      <c r="T21" s="180"/>
      <c r="U21" s="208"/>
      <c r="V21" s="20"/>
      <c r="W21" s="20"/>
      <c r="X21" s="20"/>
      <c r="Y21" s="20"/>
      <c r="Z21" s="20"/>
      <c r="AA21" s="20"/>
      <c r="AB21" s="20"/>
      <c r="AC21" s="20"/>
      <c r="AD21" s="20"/>
      <c r="AE21" s="20"/>
      <c r="AF21" s="20"/>
      <c r="AG21" s="20"/>
    </row>
    <row r="22" spans="2:33" ht="15.6">
      <c r="B22" s="4"/>
      <c r="C22" s="40"/>
      <c r="D22" s="149"/>
      <c r="E22" s="46" t="s">
        <v>239</v>
      </c>
      <c r="F22" s="394" t="s">
        <v>268</v>
      </c>
      <c r="G22" s="394"/>
      <c r="H22" s="394"/>
      <c r="I22" s="394"/>
      <c r="J22" s="394"/>
      <c r="K22" s="103" t="s">
        <v>145</v>
      </c>
      <c r="L22" s="103"/>
      <c r="M22" s="103" t="str">
        <f>IF(ISNUMBER('Stage 1'!L51),"Value","")</f>
        <v/>
      </c>
      <c r="N22" s="103"/>
      <c r="O22" s="103" t="s">
        <v>145</v>
      </c>
      <c r="P22" s="103" t="s">
        <v>146</v>
      </c>
      <c r="Q22" s="103"/>
      <c r="R22" s="103"/>
      <c r="S22" s="103"/>
      <c r="T22" s="47"/>
      <c r="U22" s="208"/>
      <c r="V22" s="20"/>
      <c r="W22" s="20"/>
      <c r="X22" s="20"/>
      <c r="Y22" s="20"/>
      <c r="Z22" s="20"/>
      <c r="AA22" s="20"/>
      <c r="AB22" s="20"/>
      <c r="AC22" s="20"/>
      <c r="AD22" s="20"/>
      <c r="AE22" s="20"/>
      <c r="AF22" s="20"/>
      <c r="AG22" s="20"/>
    </row>
    <row r="23" spans="2:33" ht="6.75" customHeight="1">
      <c r="B23" s="4"/>
      <c r="C23" s="40"/>
      <c r="D23" s="149"/>
      <c r="E23" s="46"/>
      <c r="F23" s="47"/>
      <c r="G23" s="47"/>
      <c r="H23" s="47"/>
      <c r="I23" s="47"/>
      <c r="J23" s="47"/>
      <c r="K23" s="103"/>
      <c r="L23" s="103"/>
      <c r="M23" s="103"/>
      <c r="N23" s="103"/>
      <c r="O23" s="103"/>
      <c r="P23" s="103"/>
      <c r="Q23" s="103"/>
      <c r="R23" s="103"/>
      <c r="S23" s="103"/>
      <c r="T23" s="47"/>
      <c r="U23" s="208"/>
      <c r="V23" s="20"/>
      <c r="W23" s="20"/>
      <c r="X23" s="20"/>
      <c r="Y23" s="20"/>
      <c r="Z23" s="20"/>
      <c r="AA23" s="20"/>
      <c r="AB23" s="20"/>
      <c r="AC23" s="20"/>
      <c r="AD23" s="20"/>
      <c r="AE23" s="20"/>
      <c r="AF23" s="20"/>
      <c r="AG23" s="20"/>
    </row>
    <row r="24" spans="2:33" ht="15.6">
      <c r="B24" s="4"/>
      <c r="C24" s="40"/>
      <c r="D24" s="149"/>
      <c r="E24" s="47"/>
      <c r="F24" s="393" t="s">
        <v>269</v>
      </c>
      <c r="G24" s="393"/>
      <c r="H24" s="393"/>
      <c r="I24" s="393"/>
      <c r="J24" s="393"/>
      <c r="K24" s="192">
        <f>K12+K19</f>
        <v>0</v>
      </c>
      <c r="L24" s="188"/>
      <c r="M24" s="216" t="str">
        <f>IF(ISNUMBER('Stage 1'!L51),M12+M19,"")</f>
        <v/>
      </c>
      <c r="N24" s="188"/>
      <c r="O24" s="303">
        <f>O12+O19</f>
        <v>0</v>
      </c>
      <c r="P24" s="167" t="s">
        <v>199</v>
      </c>
      <c r="Q24" s="167"/>
      <c r="R24" s="167"/>
      <c r="S24" s="167"/>
      <c r="T24" s="47"/>
      <c r="U24" s="208"/>
      <c r="V24" s="20"/>
      <c r="W24" s="20"/>
      <c r="X24" s="20"/>
      <c r="Y24" s="20"/>
      <c r="Z24" s="20"/>
      <c r="AA24" s="20"/>
      <c r="AB24" s="20"/>
      <c r="AC24" s="20"/>
      <c r="AD24" s="20"/>
      <c r="AE24" s="20"/>
      <c r="AF24" s="20"/>
      <c r="AG24" s="20"/>
    </row>
    <row r="25" spans="2:33" ht="15.6">
      <c r="B25" s="4"/>
      <c r="C25" s="40"/>
      <c r="D25" s="149"/>
      <c r="E25" s="47"/>
      <c r="F25" s="47"/>
      <c r="G25" s="47"/>
      <c r="H25" s="47"/>
      <c r="I25" s="47"/>
      <c r="J25" s="47"/>
      <c r="K25" s="47"/>
      <c r="L25" s="47"/>
      <c r="M25" s="47"/>
      <c r="N25" s="47"/>
      <c r="O25" s="47"/>
      <c r="P25" s="47"/>
      <c r="Q25" s="47"/>
      <c r="R25" s="47"/>
      <c r="S25" s="47"/>
      <c r="T25" s="47"/>
      <c r="U25" s="208"/>
      <c r="V25" s="20"/>
      <c r="W25" s="20"/>
      <c r="X25" s="20"/>
      <c r="Y25" s="20"/>
      <c r="Z25" s="20"/>
      <c r="AA25" s="20"/>
      <c r="AB25" s="20"/>
      <c r="AC25" s="20"/>
      <c r="AD25" s="20"/>
      <c r="AE25" s="20"/>
      <c r="AF25" s="20"/>
      <c r="AG25" s="20"/>
    </row>
    <row r="26" spans="2:33" ht="15.6">
      <c r="B26" s="4"/>
      <c r="C26" s="40"/>
      <c r="D26" s="149"/>
      <c r="E26" s="180"/>
      <c r="F26" s="180"/>
      <c r="G26" s="180"/>
      <c r="H26" s="180"/>
      <c r="I26" s="180"/>
      <c r="J26" s="180"/>
      <c r="K26" s="180"/>
      <c r="L26" s="180"/>
      <c r="M26" s="180"/>
      <c r="N26" s="180"/>
      <c r="O26" s="180"/>
      <c r="P26" s="180"/>
      <c r="Q26" s="180"/>
      <c r="R26" s="180"/>
      <c r="S26" s="180"/>
      <c r="T26" s="180"/>
      <c r="U26" s="208"/>
      <c r="V26" s="20"/>
      <c r="W26" s="20"/>
      <c r="X26" s="20"/>
      <c r="Y26" s="20"/>
      <c r="Z26" s="20"/>
      <c r="AA26" s="20"/>
      <c r="AB26" s="20"/>
      <c r="AC26" s="20"/>
      <c r="AD26" s="20"/>
      <c r="AE26" s="20"/>
      <c r="AF26" s="20"/>
      <c r="AG26" s="20"/>
    </row>
    <row r="27" spans="2:33" ht="15.6">
      <c r="B27" s="4"/>
      <c r="C27" s="40"/>
      <c r="D27" s="149"/>
      <c r="E27" s="46" t="s">
        <v>201</v>
      </c>
      <c r="F27" s="394" t="s">
        <v>270</v>
      </c>
      <c r="G27" s="394"/>
      <c r="H27" s="394"/>
      <c r="I27" s="394"/>
      <c r="J27" s="394"/>
      <c r="K27" s="103" t="s">
        <v>145</v>
      </c>
      <c r="L27" s="103"/>
      <c r="M27" s="103" t="str">
        <f>IF(ISNUMBER('Stage 1'!L51),"Value","")</f>
        <v/>
      </c>
      <c r="N27" s="103"/>
      <c r="O27" s="103" t="s">
        <v>145</v>
      </c>
      <c r="P27" s="103" t="s">
        <v>146</v>
      </c>
      <c r="Q27" s="103"/>
      <c r="R27" s="103"/>
      <c r="S27" s="103"/>
      <c r="T27" s="47"/>
      <c r="U27" s="208"/>
      <c r="V27" s="20"/>
      <c r="W27" s="20"/>
      <c r="X27" s="20"/>
      <c r="Y27" s="20"/>
      <c r="Z27" s="20"/>
      <c r="AA27" s="20"/>
      <c r="AB27" s="20"/>
      <c r="AC27" s="20"/>
      <c r="AD27" s="20"/>
      <c r="AE27" s="20"/>
      <c r="AF27" s="20"/>
      <c r="AG27" s="20"/>
    </row>
    <row r="28" spans="2:33" ht="6" customHeight="1">
      <c r="B28" s="4"/>
      <c r="C28" s="40"/>
      <c r="D28" s="149"/>
      <c r="E28" s="46"/>
      <c r="F28" s="47"/>
      <c r="G28" s="47"/>
      <c r="H28" s="47"/>
      <c r="I28" s="47"/>
      <c r="J28" s="47"/>
      <c r="K28" s="103"/>
      <c r="L28" s="103"/>
      <c r="M28" s="103"/>
      <c r="N28" s="103"/>
      <c r="O28" s="103"/>
      <c r="P28" s="103"/>
      <c r="Q28" s="103"/>
      <c r="R28" s="103"/>
      <c r="S28" s="103"/>
      <c r="T28" s="47"/>
      <c r="U28" s="208"/>
      <c r="V28" s="20"/>
      <c r="W28" s="20"/>
      <c r="X28" s="20"/>
      <c r="Y28" s="20"/>
      <c r="Z28" s="20"/>
      <c r="AA28" s="20"/>
      <c r="AB28" s="20"/>
      <c r="AC28" s="20"/>
      <c r="AD28" s="20"/>
      <c r="AE28" s="20"/>
      <c r="AF28" s="20"/>
      <c r="AG28" s="20"/>
    </row>
    <row r="29" spans="2:33" ht="15.95" customHeight="1">
      <c r="B29" s="4"/>
      <c r="C29" s="40"/>
      <c r="D29" s="149"/>
      <c r="E29" s="46"/>
      <c r="F29" s="394" t="s">
        <v>271</v>
      </c>
      <c r="G29" s="394"/>
      <c r="H29" s="394"/>
      <c r="I29" s="394"/>
      <c r="J29" s="394"/>
      <c r="K29" s="164">
        <v>20</v>
      </c>
      <c r="L29" s="103"/>
      <c r="M29" s="103" t="str">
        <f>IF(ISNUMBER('Stage 1'!L51),20,"")</f>
        <v/>
      </c>
      <c r="N29" s="103"/>
      <c r="O29" s="304">
        <v>20</v>
      </c>
      <c r="P29" s="161" t="s">
        <v>162</v>
      </c>
      <c r="Q29" s="103"/>
      <c r="R29" s="103"/>
      <c r="S29" s="103"/>
      <c r="T29" s="47"/>
      <c r="U29" s="208"/>
      <c r="V29" s="20"/>
      <c r="W29" s="20"/>
      <c r="X29" s="20"/>
      <c r="Y29" s="20"/>
      <c r="Z29" s="20"/>
      <c r="AA29" s="20"/>
      <c r="AB29" s="20"/>
      <c r="AC29" s="20"/>
      <c r="AD29" s="20"/>
      <c r="AE29" s="20"/>
      <c r="AF29" s="20"/>
      <c r="AG29" s="20"/>
    </row>
    <row r="30" spans="2:33" ht="15" customHeight="1">
      <c r="B30" s="4"/>
      <c r="C30" s="40"/>
      <c r="D30" s="149"/>
      <c r="E30" s="47"/>
      <c r="F30" s="394" t="s">
        <v>272</v>
      </c>
      <c r="G30" s="394"/>
      <c r="H30" s="394"/>
      <c r="I30" s="394"/>
      <c r="J30" s="394"/>
      <c r="K30" s="192">
        <f>IF(K24&gt;0,K24*(K29/100),K24*0)</f>
        <v>0</v>
      </c>
      <c r="L30" s="188"/>
      <c r="M30" s="188" t="str">
        <f>IF(ISNUMBER('Stage 1'!L51),IF(M24&gt;0,M24*(M29/100),M24*0),"")</f>
        <v/>
      </c>
      <c r="N30" s="188"/>
      <c r="O30" s="303">
        <f>IF(O24&gt;0,O24*(O29/100),O24*0)</f>
        <v>0</v>
      </c>
      <c r="P30" s="167" t="s">
        <v>199</v>
      </c>
      <c r="Q30" s="167"/>
      <c r="R30" s="167"/>
      <c r="S30" s="167"/>
      <c r="T30" s="47"/>
      <c r="U30" s="208"/>
      <c r="V30" s="20"/>
      <c r="W30" s="20"/>
      <c r="X30" s="20"/>
      <c r="Y30" s="20"/>
      <c r="Z30" s="20"/>
      <c r="AA30" s="20"/>
      <c r="AB30" s="20"/>
      <c r="AC30" s="20"/>
      <c r="AD30" s="20"/>
      <c r="AE30" s="20"/>
      <c r="AF30" s="20"/>
      <c r="AG30" s="20"/>
    </row>
    <row r="31" spans="2:33" ht="15.6">
      <c r="B31" s="4"/>
      <c r="C31" s="40"/>
      <c r="D31" s="149"/>
      <c r="E31" s="47"/>
      <c r="F31" s="47"/>
      <c r="G31" s="47"/>
      <c r="H31" s="47"/>
      <c r="I31" s="47"/>
      <c r="J31" s="47"/>
      <c r="K31" s="47"/>
      <c r="L31" s="47"/>
      <c r="M31" s="47"/>
      <c r="N31" s="47"/>
      <c r="O31" s="47"/>
      <c r="P31" s="47"/>
      <c r="Q31" s="47"/>
      <c r="R31" s="47"/>
      <c r="S31" s="47"/>
      <c r="T31" s="47"/>
      <c r="U31" s="208"/>
      <c r="V31" s="20"/>
      <c r="W31" s="20" t="s">
        <v>273</v>
      </c>
      <c r="X31" s="20"/>
      <c r="Y31" s="20"/>
      <c r="Z31" s="20"/>
      <c r="AA31" s="20"/>
      <c r="AB31" s="20"/>
      <c r="AC31" s="20"/>
      <c r="AD31" s="20"/>
      <c r="AE31" s="20"/>
      <c r="AF31" s="20"/>
      <c r="AG31" s="20"/>
    </row>
    <row r="32" spans="2:33" ht="12.75" customHeight="1">
      <c r="B32" s="4"/>
      <c r="C32" s="40"/>
      <c r="D32" s="149"/>
      <c r="E32" s="434" t="s">
        <v>274</v>
      </c>
      <c r="F32" s="434"/>
      <c r="G32" s="434"/>
      <c r="H32" s="434"/>
      <c r="I32" s="434"/>
      <c r="J32" s="434"/>
      <c r="K32" s="434"/>
      <c r="L32" s="434"/>
      <c r="M32" s="434"/>
      <c r="N32" s="434"/>
      <c r="O32" s="434"/>
      <c r="P32" s="434"/>
      <c r="Q32" s="434"/>
      <c r="R32" s="434"/>
      <c r="S32" s="434"/>
      <c r="T32" s="434"/>
      <c r="U32" s="208"/>
      <c r="V32" s="20"/>
      <c r="W32" s="20"/>
      <c r="X32" s="20"/>
      <c r="Y32" s="20"/>
      <c r="Z32" s="20"/>
      <c r="AA32" s="20"/>
      <c r="AB32" s="20"/>
      <c r="AC32" s="20"/>
      <c r="AD32" s="20"/>
      <c r="AE32" s="20"/>
      <c r="AF32" s="20"/>
      <c r="AG32" s="20"/>
    </row>
    <row r="33" spans="2:33" ht="38.25" customHeight="1">
      <c r="B33" s="4"/>
      <c r="C33" s="40"/>
      <c r="D33" s="149"/>
      <c r="E33" s="434"/>
      <c r="F33" s="434"/>
      <c r="G33" s="434"/>
      <c r="H33" s="434"/>
      <c r="I33" s="434"/>
      <c r="J33" s="434"/>
      <c r="K33" s="434"/>
      <c r="L33" s="434"/>
      <c r="M33" s="434"/>
      <c r="N33" s="434"/>
      <c r="O33" s="434"/>
      <c r="P33" s="434"/>
      <c r="Q33" s="434"/>
      <c r="R33" s="434"/>
      <c r="S33" s="434"/>
      <c r="T33" s="434"/>
      <c r="U33" s="208"/>
      <c r="V33" s="20"/>
      <c r="W33" s="20" t="s">
        <v>275</v>
      </c>
      <c r="X33" s="20"/>
      <c r="Y33" s="20"/>
      <c r="Z33" s="20"/>
      <c r="AA33" s="20"/>
      <c r="AB33" s="20"/>
      <c r="AC33" s="20"/>
      <c r="AD33" s="20"/>
      <c r="AE33" s="20"/>
      <c r="AF33" s="20"/>
      <c r="AG33" s="20"/>
    </row>
    <row r="34" spans="2:33" ht="1.5" customHeight="1">
      <c r="B34" s="4"/>
      <c r="C34" s="40"/>
      <c r="D34" s="149"/>
      <c r="E34" s="217"/>
      <c r="F34" s="217"/>
      <c r="G34" s="217"/>
      <c r="H34" s="217"/>
      <c r="I34" s="217"/>
      <c r="J34" s="217"/>
      <c r="K34" s="217"/>
      <c r="L34" s="217"/>
      <c r="M34" s="217"/>
      <c r="N34" s="217"/>
      <c r="O34" s="217"/>
      <c r="P34" s="217"/>
      <c r="Q34" s="217"/>
      <c r="R34" s="217"/>
      <c r="S34" s="217"/>
      <c r="T34" s="217"/>
      <c r="U34" s="208"/>
      <c r="V34" s="20"/>
      <c r="W34" s="20"/>
      <c r="X34" s="20"/>
      <c r="Y34" s="20"/>
      <c r="Z34" s="20"/>
      <c r="AA34" s="20"/>
      <c r="AB34" s="20"/>
      <c r="AC34" s="20"/>
      <c r="AD34" s="20"/>
      <c r="AE34" s="20"/>
      <c r="AF34" s="20"/>
      <c r="AG34" s="20"/>
    </row>
    <row r="35" spans="2:33" ht="15.6">
      <c r="B35" s="4"/>
      <c r="C35" s="40"/>
      <c r="D35" s="149"/>
      <c r="E35" s="180"/>
      <c r="F35" s="180"/>
      <c r="G35" s="180"/>
      <c r="H35" s="180"/>
      <c r="I35" s="180"/>
      <c r="J35" s="180"/>
      <c r="K35" s="180"/>
      <c r="L35" s="180"/>
      <c r="M35" s="180"/>
      <c r="N35" s="180"/>
      <c r="O35" s="180"/>
      <c r="P35" s="180"/>
      <c r="Q35" s="180"/>
      <c r="R35" s="180"/>
      <c r="S35" s="180"/>
      <c r="T35" s="180"/>
      <c r="U35" s="208"/>
      <c r="V35" s="20"/>
      <c r="W35" s="20" t="s">
        <v>276</v>
      </c>
      <c r="X35" s="20"/>
      <c r="Y35" s="20"/>
      <c r="Z35" s="20"/>
      <c r="AA35" s="20"/>
      <c r="AB35" s="20"/>
      <c r="AC35" s="20"/>
      <c r="AD35" s="20"/>
      <c r="AE35" s="20"/>
      <c r="AF35" s="20"/>
      <c r="AG35" s="20"/>
    </row>
    <row r="36" spans="2:33" ht="15.6">
      <c r="B36" s="4"/>
      <c r="C36" s="40"/>
      <c r="D36" s="149"/>
      <c r="E36" s="46" t="s">
        <v>277</v>
      </c>
      <c r="F36" s="393" t="s">
        <v>278</v>
      </c>
      <c r="G36" s="393"/>
      <c r="H36" s="393"/>
      <c r="I36" s="393"/>
      <c r="J36" s="393"/>
      <c r="K36" s="103" t="s">
        <v>145</v>
      </c>
      <c r="L36" s="103"/>
      <c r="M36" s="103" t="str">
        <f>IF(ISNUMBER('Stage 1'!L51),"Value","")</f>
        <v/>
      </c>
      <c r="N36" s="103"/>
      <c r="O36" s="103"/>
      <c r="P36" s="103" t="s">
        <v>146</v>
      </c>
      <c r="Q36" s="103"/>
      <c r="R36" s="103"/>
      <c r="S36" s="103"/>
      <c r="T36" s="47"/>
      <c r="U36" s="208"/>
      <c r="V36" s="20"/>
      <c r="W36" s="20"/>
      <c r="X36" s="20"/>
      <c r="Y36" s="20"/>
      <c r="Z36" s="20"/>
      <c r="AA36" s="20"/>
      <c r="AB36" s="20"/>
      <c r="AC36" s="20"/>
      <c r="AD36" s="20"/>
      <c r="AE36" s="20"/>
      <c r="AF36" s="20"/>
      <c r="AG36" s="20"/>
    </row>
    <row r="37" spans="2:33" ht="6.75" customHeight="1">
      <c r="B37" s="4"/>
      <c r="C37" s="40"/>
      <c r="D37" s="149"/>
      <c r="E37" s="46"/>
      <c r="F37" s="47"/>
      <c r="G37" s="47"/>
      <c r="H37" s="47"/>
      <c r="I37" s="47"/>
      <c r="J37" s="47"/>
      <c r="K37" s="103"/>
      <c r="L37" s="103"/>
      <c r="M37" s="103"/>
      <c r="N37" s="103"/>
      <c r="O37" s="103"/>
      <c r="P37" s="103"/>
      <c r="Q37" s="103"/>
      <c r="R37" s="103"/>
      <c r="S37" s="103"/>
      <c r="T37" s="47"/>
      <c r="U37" s="208"/>
      <c r="V37" s="20"/>
      <c r="W37" s="20" t="s">
        <v>279</v>
      </c>
      <c r="X37" s="20"/>
      <c r="Y37" s="20"/>
      <c r="Z37" s="20"/>
      <c r="AA37" s="20"/>
      <c r="AB37" s="20"/>
      <c r="AC37" s="20"/>
      <c r="AD37" s="20"/>
      <c r="AE37" s="20"/>
      <c r="AF37" s="20"/>
      <c r="AG37" s="20"/>
    </row>
    <row r="38" spans="2:33" ht="15.6">
      <c r="B38" s="4"/>
      <c r="C38" s="40"/>
      <c r="D38" s="149"/>
      <c r="E38" s="47"/>
      <c r="F38" s="393" t="s">
        <v>280</v>
      </c>
      <c r="G38" s="393"/>
      <c r="H38" s="393"/>
      <c r="I38" s="393"/>
      <c r="J38" s="393"/>
      <c r="K38" s="192">
        <f>K24+K30</f>
        <v>0</v>
      </c>
      <c r="L38" s="188"/>
      <c r="M38" s="216" t="str">
        <f>IF(ISNUMBER('Stage 1'!L51),M24+M30,"")</f>
        <v/>
      </c>
      <c r="N38" s="188"/>
      <c r="O38" s="303">
        <f>O24+O30</f>
        <v>0</v>
      </c>
      <c r="P38" s="167" t="s">
        <v>206</v>
      </c>
      <c r="Q38" s="167"/>
      <c r="R38" s="167"/>
      <c r="S38" s="167"/>
      <c r="T38" s="47"/>
      <c r="U38" s="208"/>
      <c r="V38" s="20"/>
      <c r="W38" s="20"/>
      <c r="X38" s="20"/>
      <c r="Y38" s="20"/>
      <c r="Z38" s="20"/>
      <c r="AA38" s="20"/>
      <c r="AB38" s="20"/>
      <c r="AC38" s="20"/>
      <c r="AD38" s="20"/>
      <c r="AE38" s="20"/>
      <c r="AF38" s="20"/>
      <c r="AG38" s="20"/>
    </row>
    <row r="39" spans="2:33" ht="15.6">
      <c r="B39" s="4"/>
      <c r="C39" s="40"/>
      <c r="D39" s="149"/>
      <c r="E39" s="149"/>
      <c r="F39" s="149"/>
      <c r="G39" s="149"/>
      <c r="H39" s="149"/>
      <c r="I39" s="149"/>
      <c r="J39" s="149"/>
      <c r="K39" s="149"/>
      <c r="L39" s="149"/>
      <c r="M39" s="149"/>
      <c r="N39" s="149"/>
      <c r="O39" s="149"/>
      <c r="P39" s="149"/>
      <c r="Q39" s="149"/>
      <c r="R39" s="149"/>
      <c r="S39" s="149"/>
      <c r="T39" s="149"/>
      <c r="U39" s="208"/>
      <c r="V39" s="20"/>
      <c r="W39" s="20"/>
      <c r="X39" s="20"/>
      <c r="Y39" s="20"/>
      <c r="Z39" s="20"/>
      <c r="AA39" s="20"/>
      <c r="AB39" s="20"/>
      <c r="AC39" s="20"/>
      <c r="AD39" s="20"/>
      <c r="AE39" s="20"/>
      <c r="AF39" s="20"/>
      <c r="AG39" s="20"/>
    </row>
    <row r="40" spans="2:33" ht="12.75" customHeight="1">
      <c r="B40" s="4"/>
      <c r="C40" s="40"/>
      <c r="D40" s="452" t="s">
        <v>281</v>
      </c>
      <c r="E40" s="452"/>
      <c r="F40" s="452"/>
      <c r="G40" s="452"/>
      <c r="H40" s="452"/>
      <c r="I40" s="452"/>
      <c r="J40" s="452"/>
      <c r="K40" s="452"/>
      <c r="L40" s="452"/>
      <c r="M40" s="452"/>
      <c r="N40" s="452"/>
      <c r="O40" s="452"/>
      <c r="P40" s="452"/>
      <c r="Q40" s="452"/>
      <c r="R40" s="452"/>
      <c r="S40" s="452"/>
      <c r="T40" s="452"/>
      <c r="U40" s="208"/>
      <c r="V40" s="20"/>
      <c r="W40" s="20"/>
      <c r="X40" s="20"/>
      <c r="Y40" s="20"/>
      <c r="Z40" s="20"/>
      <c r="AA40" s="20"/>
      <c r="AB40" s="20"/>
      <c r="AC40" s="20"/>
      <c r="AD40" s="20"/>
      <c r="AE40" s="20"/>
      <c r="AF40" s="20"/>
      <c r="AG40" s="20"/>
    </row>
    <row r="41" spans="2:33" ht="35.450000000000003" customHeight="1">
      <c r="B41" s="4"/>
      <c r="C41" s="40"/>
      <c r="D41" s="444" t="str">
        <f>IF(K38&gt;0,W33,W31)</f>
        <v>Development will be Phosphorus neutral - no mitigation will be required</v>
      </c>
      <c r="E41" s="444"/>
      <c r="F41" s="444"/>
      <c r="G41" s="444"/>
      <c r="H41" s="444"/>
      <c r="I41" s="444"/>
      <c r="J41" s="444"/>
      <c r="K41" s="444"/>
      <c r="L41" s="444"/>
      <c r="M41" s="444"/>
      <c r="N41" s="444"/>
      <c r="O41" s="444"/>
      <c r="P41" s="444"/>
      <c r="Q41" s="444"/>
      <c r="R41" s="444"/>
      <c r="S41" s="444"/>
      <c r="T41" s="444"/>
      <c r="U41" s="208"/>
      <c r="V41" s="20"/>
      <c r="W41" s="20"/>
      <c r="X41" s="20"/>
      <c r="Y41" s="20"/>
      <c r="Z41" s="20"/>
      <c r="AA41" s="20"/>
      <c r="AB41" s="20"/>
      <c r="AC41" s="20"/>
      <c r="AD41" s="20"/>
      <c r="AE41" s="20"/>
      <c r="AF41" s="20"/>
      <c r="AG41" s="20"/>
    </row>
    <row r="42" spans="2:33" ht="4.5" customHeight="1">
      <c r="B42" s="4"/>
      <c r="C42" s="40"/>
      <c r="D42" s="444"/>
      <c r="E42" s="444"/>
      <c r="F42" s="444"/>
      <c r="G42" s="444"/>
      <c r="H42" s="444"/>
      <c r="I42" s="444"/>
      <c r="J42" s="444"/>
      <c r="K42" s="444"/>
      <c r="L42" s="444"/>
      <c r="M42" s="444"/>
      <c r="N42" s="444"/>
      <c r="O42" s="444"/>
      <c r="P42" s="444"/>
      <c r="Q42" s="444"/>
      <c r="R42" s="444"/>
      <c r="S42" s="444"/>
      <c r="T42" s="444"/>
      <c r="U42" s="208"/>
      <c r="V42" s="20"/>
      <c r="W42" s="20"/>
      <c r="X42" s="20"/>
      <c r="Y42" s="20"/>
      <c r="Z42" s="20"/>
      <c r="AA42" s="20"/>
      <c r="AB42" s="20"/>
      <c r="AC42" s="20"/>
      <c r="AD42" s="20"/>
      <c r="AE42" s="20"/>
      <c r="AF42" s="20"/>
      <c r="AG42" s="20"/>
    </row>
    <row r="43" spans="2:33" ht="12.95" customHeight="1">
      <c r="B43" s="4"/>
      <c r="C43" s="40"/>
      <c r="D43" s="444" t="str">
        <f>IF(ISNUMBER('Stage 1'!L51),"Post 2025 TP loading","")</f>
        <v/>
      </c>
      <c r="E43" s="444"/>
      <c r="F43" s="444"/>
      <c r="G43" s="444"/>
      <c r="H43" s="444"/>
      <c r="I43" s="444"/>
      <c r="J43" s="444"/>
      <c r="K43" s="444"/>
      <c r="L43" s="444"/>
      <c r="M43" s="444"/>
      <c r="N43" s="444"/>
      <c r="O43" s="444"/>
      <c r="P43" s="444"/>
      <c r="Q43" s="444"/>
      <c r="R43" s="444"/>
      <c r="S43" s="444"/>
      <c r="T43" s="444"/>
      <c r="U43" s="208"/>
      <c r="V43" s="20"/>
      <c r="W43" s="20"/>
      <c r="X43" s="20"/>
      <c r="Y43" s="20"/>
      <c r="Z43" s="20"/>
      <c r="AA43" s="20"/>
      <c r="AB43" s="20"/>
      <c r="AC43" s="20"/>
      <c r="AD43" s="20"/>
      <c r="AE43" s="20"/>
      <c r="AF43" s="20"/>
      <c r="AG43" s="20"/>
    </row>
    <row r="44" spans="2:33" ht="35.450000000000003" customHeight="1">
      <c r="B44" s="4"/>
      <c r="C44" s="40"/>
      <c r="D44" s="444" t="str">
        <f>IF(ISNUMBER('Stage 1'!L51),IF(M38&gt;0,W35,W31),"")</f>
        <v/>
      </c>
      <c r="E44" s="444"/>
      <c r="F44" s="444"/>
      <c r="G44" s="444"/>
      <c r="H44" s="444"/>
      <c r="I44" s="444"/>
      <c r="J44" s="444"/>
      <c r="K44" s="444"/>
      <c r="L44" s="444"/>
      <c r="M44" s="444"/>
      <c r="N44" s="444"/>
      <c r="O44" s="444"/>
      <c r="P44" s="444"/>
      <c r="Q44" s="444"/>
      <c r="R44" s="444"/>
      <c r="S44" s="444"/>
      <c r="T44" s="444"/>
      <c r="U44" s="208"/>
      <c r="V44" s="20"/>
      <c r="W44" s="20"/>
      <c r="X44" s="20"/>
      <c r="Y44" s="20"/>
      <c r="Z44" s="20"/>
      <c r="AA44" s="20"/>
      <c r="AB44" s="20"/>
      <c r="AC44" s="20"/>
      <c r="AD44" s="20"/>
      <c r="AE44" s="20"/>
      <c r="AF44" s="20"/>
      <c r="AG44" s="20"/>
    </row>
    <row r="45" spans="2:33" ht="3.95" customHeight="1">
      <c r="B45" s="4"/>
      <c r="C45" s="40"/>
      <c r="D45" s="198"/>
      <c r="E45" s="198"/>
      <c r="F45" s="198"/>
      <c r="G45" s="198"/>
      <c r="H45" s="198"/>
      <c r="I45" s="198"/>
      <c r="J45" s="198"/>
      <c r="K45" s="198"/>
      <c r="L45" s="198"/>
      <c r="M45" s="198"/>
      <c r="N45" s="198"/>
      <c r="O45" s="198"/>
      <c r="P45" s="198"/>
      <c r="Q45" s="198"/>
      <c r="R45" s="198"/>
      <c r="S45" s="198"/>
      <c r="T45" s="198"/>
      <c r="U45" s="208"/>
      <c r="V45" s="20"/>
      <c r="W45" s="20"/>
      <c r="X45" s="20"/>
      <c r="Y45" s="20"/>
      <c r="Z45" s="20"/>
      <c r="AA45" s="20"/>
      <c r="AB45" s="20"/>
      <c r="AC45" s="20"/>
      <c r="AD45" s="20"/>
      <c r="AE45" s="20"/>
      <c r="AF45" s="20"/>
      <c r="AG45" s="20"/>
    </row>
    <row r="46" spans="2:33" ht="15.75" customHeight="1">
      <c r="B46" s="4"/>
      <c r="C46" s="40"/>
      <c r="D46" s="444" t="s">
        <v>282</v>
      </c>
      <c r="E46" s="444"/>
      <c r="F46" s="444"/>
      <c r="G46" s="444"/>
      <c r="H46" s="444"/>
      <c r="I46" s="444"/>
      <c r="J46" s="444"/>
      <c r="K46" s="444"/>
      <c r="L46" s="444"/>
      <c r="M46" s="444"/>
      <c r="N46" s="444"/>
      <c r="O46" s="444"/>
      <c r="P46" s="444"/>
      <c r="Q46" s="444"/>
      <c r="R46" s="444"/>
      <c r="S46" s="444"/>
      <c r="T46" s="444"/>
      <c r="U46" s="208"/>
      <c r="V46" s="20"/>
      <c r="W46" s="20"/>
      <c r="X46" s="20"/>
      <c r="Y46" s="20"/>
      <c r="Z46" s="20"/>
      <c r="AA46" s="20"/>
      <c r="AB46" s="20"/>
      <c r="AC46" s="20"/>
      <c r="AD46" s="20"/>
      <c r="AE46" s="20"/>
      <c r="AF46" s="20"/>
      <c r="AG46" s="20"/>
    </row>
    <row r="47" spans="2:33" ht="35.450000000000003" customHeight="1">
      <c r="B47" s="4"/>
      <c r="C47" s="40"/>
      <c r="D47" s="444" t="str">
        <f>IF(O38&gt;0,W37,W31)</f>
        <v>Development will be Phosphorus neutral - no mitigation will be required</v>
      </c>
      <c r="E47" s="444"/>
      <c r="F47" s="444"/>
      <c r="G47" s="444"/>
      <c r="H47" s="444"/>
      <c r="I47" s="444"/>
      <c r="J47" s="444"/>
      <c r="K47" s="444"/>
      <c r="L47" s="444"/>
      <c r="M47" s="444"/>
      <c r="N47" s="444"/>
      <c r="O47" s="444"/>
      <c r="P47" s="444"/>
      <c r="Q47" s="444"/>
      <c r="R47" s="444"/>
      <c r="S47" s="444"/>
      <c r="T47" s="444"/>
      <c r="U47" s="208"/>
      <c r="V47" s="20"/>
      <c r="W47" s="20"/>
      <c r="X47" s="20"/>
      <c r="Y47" s="20"/>
      <c r="Z47" s="20"/>
      <c r="AA47" s="20"/>
      <c r="AB47" s="20"/>
      <c r="AC47" s="20"/>
      <c r="AD47" s="20"/>
      <c r="AE47" s="20"/>
      <c r="AF47" s="20"/>
      <c r="AG47" s="20"/>
    </row>
    <row r="48" spans="2:33" ht="9" customHeight="1">
      <c r="B48" s="4"/>
      <c r="C48" s="40"/>
      <c r="D48" s="198"/>
      <c r="E48" s="198"/>
      <c r="F48" s="198"/>
      <c r="G48" s="198"/>
      <c r="H48" s="198"/>
      <c r="I48" s="198"/>
      <c r="J48" s="198"/>
      <c r="K48" s="198"/>
      <c r="L48" s="198"/>
      <c r="M48" s="198"/>
      <c r="N48" s="198"/>
      <c r="O48" s="198"/>
      <c r="P48" s="198"/>
      <c r="Q48" s="198"/>
      <c r="R48" s="198"/>
      <c r="S48" s="198"/>
      <c r="T48" s="198"/>
      <c r="U48" s="208"/>
      <c r="V48" s="20"/>
      <c r="W48" s="20"/>
      <c r="X48" s="20"/>
      <c r="Y48" s="20"/>
      <c r="Z48" s="20"/>
      <c r="AA48" s="20"/>
      <c r="AB48" s="20"/>
      <c r="AC48" s="20"/>
      <c r="AD48" s="20"/>
      <c r="AE48" s="20"/>
      <c r="AF48" s="20"/>
      <c r="AG48" s="20"/>
    </row>
    <row r="49" spans="2:33" ht="6" customHeight="1" thickBot="1">
      <c r="B49" s="7"/>
      <c r="C49" s="49"/>
      <c r="D49" s="190"/>
      <c r="E49" s="190"/>
      <c r="F49" s="190"/>
      <c r="G49" s="190"/>
      <c r="H49" s="190"/>
      <c r="I49" s="190"/>
      <c r="J49" s="190"/>
      <c r="K49" s="190"/>
      <c r="L49" s="190"/>
      <c r="M49" s="190"/>
      <c r="N49" s="190"/>
      <c r="O49" s="190"/>
      <c r="P49" s="190"/>
      <c r="Q49" s="190"/>
      <c r="R49" s="190"/>
      <c r="S49" s="190"/>
      <c r="T49" s="190"/>
      <c r="U49" s="218"/>
      <c r="V49" s="20"/>
      <c r="W49" s="20"/>
      <c r="X49" s="20"/>
      <c r="Y49" s="20"/>
      <c r="Z49" s="20"/>
      <c r="AA49" s="20"/>
      <c r="AB49" s="20"/>
      <c r="AC49" s="20"/>
      <c r="AD49" s="20"/>
      <c r="AE49" s="20"/>
      <c r="AF49" s="20"/>
      <c r="AG49" s="20"/>
    </row>
    <row r="50" spans="2:33" ht="15.6">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row>
  </sheetData>
  <sheetProtection algorithmName="SHA-512" hashValue="0BtqmOGkr4O50tuYv0RXnDn533xg7RBYN+qXakqMSrjnH6W88QR3wytgvbaxGUm22rIbqdvjFuda3WWPRDgfkg==" saltValue="44Z6/yBiqPpBk1m/wdjn6Q==" spinCount="100000" sheet="1" selectLockedCells="1" selectUnlockedCells="1"/>
  <dataConsolidate/>
  <mergeCells count="23">
    <mergeCell ref="F27:J27"/>
    <mergeCell ref="F29:J29"/>
    <mergeCell ref="R8:S8"/>
    <mergeCell ref="F13:J13"/>
    <mergeCell ref="F19:J19"/>
    <mergeCell ref="F22:J22"/>
    <mergeCell ref="F24:J24"/>
    <mergeCell ref="D46:T46"/>
    <mergeCell ref="D47:T47"/>
    <mergeCell ref="F3:T3"/>
    <mergeCell ref="E4:T6"/>
    <mergeCell ref="F10:J10"/>
    <mergeCell ref="F12:J12"/>
    <mergeCell ref="F17:J17"/>
    <mergeCell ref="D44:T44"/>
    <mergeCell ref="D40:T40"/>
    <mergeCell ref="D43:T43"/>
    <mergeCell ref="D41:T41"/>
    <mergeCell ref="E32:T33"/>
    <mergeCell ref="D42:T42"/>
    <mergeCell ref="F30:J30"/>
    <mergeCell ref="F36:J36"/>
    <mergeCell ref="F38:J38"/>
  </mergeCells>
  <phoneticPr fontId="11" type="noConversion"/>
  <conditionalFormatting sqref="D41:T42 D43 D44:T45 D46:D48">
    <cfRule type="containsText" dxfId="42" priority="21" operator="containsText" text="additional">
      <formula>NOT(ISERROR(SEARCH("additional",D41)))</formula>
    </cfRule>
    <cfRule type="containsText" dxfId="41" priority="22" operator="containsText" text="neutral">
      <formula>NOT(ISERROR(SEARCH("neutral",D41)))</formula>
    </cfRule>
  </conditionalFormatting>
  <pageMargins left="0.70866141732283472" right="0.70866141732283472" top="0.74803149606299213" bottom="0.74803149606299213" header="0.31496062992125984" footer="0.31496062992125984"/>
  <pageSetup paperSize="9" scale="64" orientation="landscape" horizontalDpi="360" verticalDpi="360" r:id="rId1"/>
  <headerFooter>
    <oddHeader>&amp;LPhosphate Budget Calculator&amp;CStage 4</oddHeader>
    <oddFooter>&amp;LVersion 3&amp;R&amp;D</oddFooter>
  </headerFooter>
  <customProperties>
    <customPr name="SSC_SHEET_GUID" r:id="rId2"/>
  </customProperties>
  <extLst>
    <ext xmlns:x14="http://schemas.microsoft.com/office/spreadsheetml/2009/9/main" uri="{78C0D931-6437-407d-A8EE-F0AAD7539E65}">
      <x14:conditionalFormattings>
        <x14:conditionalFormatting xmlns:xm="http://schemas.microsoft.com/office/excel/2006/main">
          <x14:cfRule type="expression" priority="188" id="{6C74D4F2-C010-4572-A253-08A85E7792B7}">
            <xm:f>ISNUMBER('Stage 1'!N51)</xm:f>
            <x14:dxf>
              <fill>
                <patternFill>
                  <bgColor rgb="FFDDEBF7"/>
                </patternFill>
              </fill>
            </x14:dxf>
          </x14:cfRule>
          <xm:sqref>R12:R13</xm:sqref>
        </x14:conditionalFormatting>
        <x14:conditionalFormatting xmlns:xm="http://schemas.microsoft.com/office/excel/2006/main">
          <x14:cfRule type="expression" priority="191" id="{E5DE4842-40C3-4CE8-9B46-1EAB96431FFE}">
            <xm:f>ISNUMBER('Stage 1'!N51)</xm:f>
            <x14:dxf>
              <fill>
                <patternFill>
                  <bgColor rgb="FFDDEBF7"/>
                </patternFill>
              </fill>
            </x14:dxf>
          </x14:cfRule>
          <xm:sqref>S12:S13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E7A3-307D-4303-9418-5F1AB5D796ED}">
  <sheetPr codeName="Sheet8">
    <tabColor theme="7" tint="0.79998168889431442"/>
    <pageSetUpPr fitToPage="1"/>
  </sheetPr>
  <dimension ref="A1:BD94"/>
  <sheetViews>
    <sheetView topLeftCell="A34" workbookViewId="0">
      <selection activeCell="L54" sqref="L54"/>
    </sheetView>
  </sheetViews>
  <sheetFormatPr defaultRowHeight="12.6" zeroHeight="1"/>
  <cols>
    <col min="2" max="3" width="0.85546875" customWidth="1"/>
    <col min="4" max="4" width="2.28515625" customWidth="1"/>
    <col min="5" max="5" width="12.5703125" customWidth="1"/>
    <col min="7" max="7" width="10" customWidth="1"/>
    <col min="8" max="8" width="10.28515625" customWidth="1"/>
    <col min="9" max="9" width="21.42578125" customWidth="1"/>
    <col min="10" max="10" width="14" customWidth="1"/>
    <col min="11" max="11" width="13.140625" hidden="1" customWidth="1"/>
    <col min="12" max="12" width="12.85546875" customWidth="1"/>
    <col min="13" max="13" width="4.28515625" customWidth="1"/>
    <col min="14" max="14" width="8.85546875" customWidth="1"/>
    <col min="15" max="15" width="16.42578125" customWidth="1"/>
    <col min="16" max="16" width="13.85546875" customWidth="1"/>
    <col min="17" max="17" width="2.28515625" customWidth="1"/>
    <col min="18" max="18" width="11.7109375" customWidth="1"/>
    <col min="19" max="19" width="5.42578125" customWidth="1"/>
    <col min="20" max="20" width="0.85546875" customWidth="1"/>
    <col min="21" max="21" width="12.28515625" customWidth="1"/>
    <col min="23" max="23" width="25.5703125" customWidth="1"/>
    <col min="24" max="24" width="23.140625" customWidth="1"/>
    <col min="25" max="27" width="15.42578125" hidden="1" customWidth="1"/>
    <col min="28" max="28" width="2.140625" customWidth="1"/>
    <col min="30" max="30" width="12" bestFit="1" customWidth="1"/>
    <col min="33" max="33" width="8.7109375" customWidth="1"/>
  </cols>
  <sheetData>
    <row r="1" spans="1:28" ht="8.4499999999999993" customHeight="1" thickBot="1">
      <c r="A1" s="73" t="s">
        <v>283</v>
      </c>
    </row>
    <row r="2" spans="1:28" ht="11.45" customHeight="1">
      <c r="B2" s="41"/>
      <c r="C2" s="42"/>
      <c r="D2" s="219"/>
      <c r="E2" s="219"/>
      <c r="F2" s="219"/>
      <c r="G2" s="219"/>
      <c r="H2" s="219"/>
      <c r="I2" s="219"/>
      <c r="J2" s="219"/>
      <c r="K2" s="219"/>
      <c r="L2" s="219"/>
      <c r="M2" s="219"/>
      <c r="N2" s="219"/>
      <c r="O2" s="219"/>
      <c r="P2" s="219"/>
      <c r="Q2" s="219"/>
      <c r="R2" s="219"/>
      <c r="S2" s="219"/>
      <c r="T2" s="220"/>
      <c r="U2" s="151"/>
      <c r="V2" s="151"/>
      <c r="W2" s="151"/>
      <c r="X2" s="151"/>
      <c r="Y2" s="151"/>
      <c r="Z2" s="151"/>
      <c r="AA2" s="151"/>
      <c r="AB2" s="151"/>
    </row>
    <row r="3" spans="1:28" ht="28.5" customHeight="1">
      <c r="B3" s="44"/>
      <c r="C3" s="38"/>
      <c r="D3" s="195"/>
      <c r="E3" s="119" t="s">
        <v>283</v>
      </c>
      <c r="F3" s="440" t="s">
        <v>284</v>
      </c>
      <c r="G3" s="440"/>
      <c r="H3" s="440"/>
      <c r="I3" s="440"/>
      <c r="J3" s="440"/>
      <c r="K3" s="440"/>
      <c r="L3" s="440"/>
      <c r="M3" s="440"/>
      <c r="N3" s="440"/>
      <c r="O3" s="440"/>
      <c r="P3" s="440"/>
      <c r="Q3" s="440"/>
      <c r="R3" s="440"/>
      <c r="S3" s="440"/>
      <c r="T3" s="157"/>
      <c r="U3" s="151"/>
      <c r="V3" s="151"/>
      <c r="W3" s="151"/>
      <c r="X3" s="151"/>
      <c r="Y3" s="151"/>
      <c r="Z3" s="151"/>
      <c r="AA3" s="151"/>
      <c r="AB3" s="151"/>
    </row>
    <row r="4" spans="1:28" ht="6.75" customHeight="1">
      <c r="B4" s="44"/>
      <c r="C4" s="52"/>
      <c r="D4" s="196"/>
      <c r="E4" s="434" t="s">
        <v>285</v>
      </c>
      <c r="F4" s="434"/>
      <c r="G4" s="434"/>
      <c r="H4" s="434"/>
      <c r="I4" s="434"/>
      <c r="J4" s="434"/>
      <c r="K4" s="434"/>
      <c r="L4" s="434"/>
      <c r="M4" s="434"/>
      <c r="N4" s="434"/>
      <c r="O4" s="434"/>
      <c r="P4" s="434"/>
      <c r="Q4" s="434"/>
      <c r="R4" s="434"/>
      <c r="S4" s="434"/>
      <c r="T4" s="157"/>
      <c r="U4" s="151"/>
      <c r="V4" s="151"/>
      <c r="W4" s="151"/>
      <c r="X4" s="151"/>
      <c r="Y4" s="151"/>
      <c r="Z4" s="151"/>
      <c r="AA4" s="151"/>
      <c r="AB4" s="151"/>
    </row>
    <row r="5" spans="1:28" ht="6.75" customHeight="1">
      <c r="B5" s="44"/>
      <c r="C5" s="52"/>
      <c r="D5" s="196"/>
      <c r="E5" s="434"/>
      <c r="F5" s="434"/>
      <c r="G5" s="434"/>
      <c r="H5" s="434"/>
      <c r="I5" s="434"/>
      <c r="J5" s="434"/>
      <c r="K5" s="434"/>
      <c r="L5" s="434"/>
      <c r="M5" s="434"/>
      <c r="N5" s="434"/>
      <c r="O5" s="434"/>
      <c r="P5" s="434"/>
      <c r="Q5" s="434"/>
      <c r="R5" s="434"/>
      <c r="S5" s="434"/>
      <c r="T5" s="157"/>
      <c r="U5" s="151"/>
      <c r="V5" s="151"/>
      <c r="W5" s="151"/>
      <c r="X5" s="151"/>
      <c r="Y5" s="151"/>
      <c r="Z5" s="151"/>
      <c r="AA5" s="151"/>
      <c r="AB5" s="151"/>
    </row>
    <row r="6" spans="1:28" ht="53.25" customHeight="1">
      <c r="B6" s="44"/>
      <c r="C6" s="40"/>
      <c r="D6" s="149"/>
      <c r="E6" s="434"/>
      <c r="F6" s="434"/>
      <c r="G6" s="434"/>
      <c r="H6" s="434"/>
      <c r="I6" s="434"/>
      <c r="J6" s="434"/>
      <c r="K6" s="434"/>
      <c r="L6" s="434"/>
      <c r="M6" s="434"/>
      <c r="N6" s="434"/>
      <c r="O6" s="434"/>
      <c r="P6" s="434"/>
      <c r="Q6" s="434"/>
      <c r="R6" s="434"/>
      <c r="S6" s="434"/>
      <c r="T6" s="157"/>
      <c r="U6" s="151"/>
      <c r="V6" s="151"/>
      <c r="W6" s="151"/>
      <c r="X6" s="151"/>
      <c r="Y6" s="151"/>
      <c r="Z6" s="151"/>
      <c r="AA6" s="151"/>
      <c r="AB6" s="151"/>
    </row>
    <row r="7" spans="1:28" ht="21" customHeight="1">
      <c r="B7" s="44"/>
      <c r="C7" s="40"/>
      <c r="D7" s="191"/>
      <c r="E7" s="197"/>
      <c r="F7" s="197"/>
      <c r="G7" s="197"/>
      <c r="H7" s="197"/>
      <c r="I7" s="197"/>
      <c r="J7" s="197"/>
      <c r="K7" s="197"/>
      <c r="L7" s="197"/>
      <c r="M7" s="197"/>
      <c r="N7" s="197"/>
      <c r="O7" s="197"/>
      <c r="P7" s="197"/>
      <c r="Q7" s="197"/>
      <c r="R7" s="197"/>
      <c r="S7" s="197"/>
      <c r="T7" s="157"/>
      <c r="U7" s="151"/>
      <c r="V7" s="151"/>
      <c r="W7" s="151"/>
      <c r="X7" s="151"/>
      <c r="Y7" s="151"/>
      <c r="Z7" s="151"/>
      <c r="AA7" s="151"/>
      <c r="AB7" s="151"/>
    </row>
    <row r="8" spans="1:28" ht="37.5" customHeight="1">
      <c r="B8" s="44"/>
      <c r="C8" s="53"/>
      <c r="D8" s="149"/>
      <c r="E8" s="46" t="s">
        <v>143</v>
      </c>
      <c r="F8" s="394" t="s">
        <v>286</v>
      </c>
      <c r="G8" s="394"/>
      <c r="H8" s="394"/>
      <c r="I8" s="394"/>
      <c r="J8" s="394"/>
      <c r="K8" s="394"/>
      <c r="L8" s="103" t="s">
        <v>145</v>
      </c>
      <c r="M8" s="103"/>
      <c r="N8" s="103"/>
      <c r="O8" s="103" t="s">
        <v>146</v>
      </c>
      <c r="P8" s="103"/>
      <c r="Q8" s="103"/>
      <c r="R8" s="103"/>
      <c r="S8" s="47"/>
      <c r="T8" s="157"/>
      <c r="U8" s="151"/>
      <c r="V8" s="151"/>
      <c r="W8" s="151"/>
      <c r="X8" s="151"/>
      <c r="Y8" s="151"/>
      <c r="Z8" s="151"/>
      <c r="AA8" s="151"/>
      <c r="AB8" s="151"/>
    </row>
    <row r="9" spans="1:28" ht="4.5" customHeight="1">
      <c r="B9" s="44"/>
      <c r="C9" s="40"/>
      <c r="D9" s="149"/>
      <c r="E9" s="47"/>
      <c r="F9" s="47"/>
      <c r="G9" s="47"/>
      <c r="H9" s="47"/>
      <c r="I9" s="47"/>
      <c r="J9" s="47"/>
      <c r="K9" s="47"/>
      <c r="L9" s="47"/>
      <c r="M9" s="47"/>
      <c r="N9" s="47"/>
      <c r="O9" s="47"/>
      <c r="P9" s="47"/>
      <c r="Q9" s="47"/>
      <c r="R9" s="47"/>
      <c r="S9" s="47"/>
      <c r="T9" s="157"/>
      <c r="U9" s="151"/>
      <c r="V9" s="151"/>
      <c r="W9" s="151"/>
      <c r="X9" s="151"/>
      <c r="Y9" s="151"/>
      <c r="Z9" s="151"/>
      <c r="AA9" s="151"/>
      <c r="AB9" s="151"/>
    </row>
    <row r="10" spans="1:28" ht="30.95" customHeight="1">
      <c r="B10" s="44"/>
      <c r="C10" s="40"/>
      <c r="D10" s="149"/>
      <c r="E10" s="47"/>
      <c r="F10" s="37" t="s">
        <v>287</v>
      </c>
      <c r="G10" s="47"/>
      <c r="H10" s="47"/>
      <c r="I10" s="47"/>
      <c r="J10" s="47"/>
      <c r="K10" s="47"/>
      <c r="L10" s="192">
        <f>IF('Stage 4'!K38&gt;0,'Stage 4'!K38,0)</f>
        <v>0</v>
      </c>
      <c r="M10" s="188"/>
      <c r="N10" s="188"/>
      <c r="O10" s="167" t="s">
        <v>206</v>
      </c>
      <c r="P10" s="167"/>
      <c r="Q10" s="167"/>
      <c r="R10" s="167"/>
      <c r="S10" s="47"/>
      <c r="T10" s="157"/>
      <c r="U10" s="151"/>
      <c r="V10" s="151"/>
      <c r="W10" s="151"/>
      <c r="X10" s="151"/>
      <c r="Y10" s="151"/>
      <c r="Z10" s="151"/>
      <c r="AA10" s="151"/>
      <c r="AB10" s="151"/>
    </row>
    <row r="11" spans="1:28" ht="17.45" customHeight="1" thickBot="1">
      <c r="B11" s="44"/>
      <c r="C11" s="40"/>
      <c r="D11" s="149"/>
      <c r="E11" s="47"/>
      <c r="F11" s="47"/>
      <c r="G11" s="47"/>
      <c r="H11" s="47"/>
      <c r="I11" s="47"/>
      <c r="J11" s="47"/>
      <c r="K11" s="47"/>
      <c r="L11" s="47"/>
      <c r="M11" s="47"/>
      <c r="N11" s="47"/>
      <c r="O11" s="47"/>
      <c r="P11" s="47"/>
      <c r="Q11" s="47"/>
      <c r="R11" s="168"/>
      <c r="S11" s="168"/>
      <c r="T11" s="157"/>
      <c r="U11" s="221"/>
      <c r="V11" s="173"/>
      <c r="W11" s="173"/>
      <c r="X11" s="173"/>
      <c r="Y11" s="173"/>
      <c r="Z11" s="173"/>
      <c r="AA11" s="173"/>
      <c r="AB11" s="173"/>
    </row>
    <row r="12" spans="1:28" ht="6.95" customHeight="1">
      <c r="B12" s="44"/>
      <c r="C12" s="40"/>
      <c r="D12" s="191"/>
      <c r="E12" s="180"/>
      <c r="F12" s="180"/>
      <c r="G12" s="180"/>
      <c r="H12" s="180"/>
      <c r="I12" s="180"/>
      <c r="J12" s="180"/>
      <c r="K12" s="180"/>
      <c r="L12" s="180"/>
      <c r="M12" s="180"/>
      <c r="N12" s="180"/>
      <c r="O12" s="180"/>
      <c r="P12" s="180"/>
      <c r="Q12" s="180"/>
      <c r="R12" s="47"/>
      <c r="S12" s="47"/>
      <c r="T12" s="149"/>
      <c r="U12" s="149"/>
      <c r="V12" s="149"/>
      <c r="W12" s="149"/>
      <c r="X12" s="149"/>
      <c r="Y12" s="149"/>
      <c r="Z12" s="149"/>
      <c r="AA12" s="149"/>
      <c r="AB12" s="222"/>
    </row>
    <row r="13" spans="1:28" ht="15.95" customHeight="1">
      <c r="B13" s="44"/>
      <c r="C13" s="40"/>
      <c r="D13" s="149"/>
      <c r="E13" s="46" t="s">
        <v>167</v>
      </c>
      <c r="F13" s="394" t="s">
        <v>288</v>
      </c>
      <c r="G13" s="394"/>
      <c r="H13" s="394"/>
      <c r="I13" s="394"/>
      <c r="J13" s="394"/>
      <c r="K13" s="394"/>
      <c r="L13" s="47"/>
      <c r="M13" s="47"/>
      <c r="N13" s="47"/>
      <c r="O13" s="47"/>
      <c r="P13" s="47"/>
      <c r="Q13" s="47"/>
      <c r="R13" s="47"/>
      <c r="S13" s="47"/>
      <c r="T13" s="47"/>
      <c r="U13" s="47"/>
      <c r="V13" s="47"/>
      <c r="W13" s="47"/>
      <c r="X13" s="47"/>
      <c r="Y13" s="47"/>
      <c r="Z13" s="47"/>
      <c r="AA13" s="47"/>
      <c r="AB13" s="223"/>
    </row>
    <row r="14" spans="1:28" ht="10.5" customHeight="1">
      <c r="B14" s="44"/>
      <c r="C14" s="40"/>
      <c r="D14" s="149"/>
      <c r="E14" s="47"/>
      <c r="F14" s="47"/>
      <c r="G14" s="47"/>
      <c r="H14" s="47"/>
      <c r="I14" s="47"/>
      <c r="J14" s="47"/>
      <c r="K14" s="47"/>
      <c r="L14" s="47"/>
      <c r="M14" s="47"/>
      <c r="N14" s="47"/>
      <c r="O14" s="47"/>
      <c r="P14" s="179"/>
      <c r="Q14" s="47"/>
      <c r="R14" s="47"/>
      <c r="S14" s="47"/>
      <c r="T14" s="47"/>
      <c r="U14" s="47"/>
      <c r="V14" s="47"/>
      <c r="W14" s="47"/>
      <c r="X14" s="64"/>
      <c r="Y14" s="47"/>
      <c r="Z14" s="47"/>
      <c r="AA14" s="47"/>
      <c r="AB14" s="223"/>
    </row>
    <row r="15" spans="1:28" ht="14.45" customHeight="1">
      <c r="B15" s="44"/>
      <c r="C15" s="40"/>
      <c r="D15" s="149"/>
      <c r="E15" s="64" t="s">
        <v>289</v>
      </c>
      <c r="F15" s="47" t="s">
        <v>290</v>
      </c>
      <c r="G15" s="47"/>
      <c r="H15" s="47"/>
      <c r="I15" s="47"/>
      <c r="J15" s="47"/>
      <c r="K15" s="47"/>
      <c r="L15" s="160" t="s">
        <v>175</v>
      </c>
      <c r="M15" s="281"/>
      <c r="N15" s="47"/>
      <c r="O15" s="47"/>
      <c r="P15" s="179"/>
      <c r="Q15" s="47"/>
      <c r="R15" s="65" t="s">
        <v>291</v>
      </c>
      <c r="S15" s="394" t="s">
        <v>292</v>
      </c>
      <c r="T15" s="394"/>
      <c r="U15" s="394"/>
      <c r="V15" s="394"/>
      <c r="W15" s="394"/>
      <c r="X15" s="160" t="s">
        <v>175</v>
      </c>
      <c r="Y15" s="47"/>
      <c r="Z15" s="47"/>
      <c r="AA15" s="47"/>
      <c r="AB15" s="223"/>
    </row>
    <row r="16" spans="1:28" ht="14.45" customHeight="1">
      <c r="B16" s="44"/>
      <c r="C16" s="40"/>
      <c r="D16" s="149"/>
      <c r="E16" s="47"/>
      <c r="F16" s="47"/>
      <c r="G16" s="47"/>
      <c r="H16" s="47"/>
      <c r="I16" s="47"/>
      <c r="J16" s="47"/>
      <c r="K16" s="47"/>
      <c r="L16" s="47"/>
      <c r="M16" s="47"/>
      <c r="N16" s="47"/>
      <c r="O16" s="47"/>
      <c r="P16" s="179"/>
      <c r="Q16" s="47"/>
      <c r="R16" s="47"/>
      <c r="S16" s="47"/>
      <c r="T16" s="47"/>
      <c r="U16" s="47"/>
      <c r="V16" s="47"/>
      <c r="W16" s="47"/>
      <c r="X16" s="47"/>
      <c r="Y16" s="47"/>
      <c r="Z16" s="47"/>
      <c r="AA16" s="47"/>
      <c r="AB16" s="223"/>
    </row>
    <row r="17" spans="2:56" ht="45" customHeight="1">
      <c r="B17" s="44"/>
      <c r="C17" s="40"/>
      <c r="D17" s="149"/>
      <c r="E17" s="454" t="s">
        <v>293</v>
      </c>
      <c r="F17" s="454"/>
      <c r="G17" s="454"/>
      <c r="H17" s="454"/>
      <c r="I17" s="454"/>
      <c r="J17" s="454"/>
      <c r="K17" s="454"/>
      <c r="L17" s="454"/>
      <c r="M17" s="454"/>
      <c r="N17" s="454"/>
      <c r="O17" s="454"/>
      <c r="P17" s="179"/>
      <c r="Q17" s="47"/>
      <c r="R17" s="47"/>
      <c r="S17" s="454" t="s">
        <v>294</v>
      </c>
      <c r="T17" s="454"/>
      <c r="U17" s="454"/>
      <c r="V17" s="454"/>
      <c r="W17" s="454"/>
      <c r="X17" s="454"/>
      <c r="Y17" s="224"/>
      <c r="Z17" s="224"/>
      <c r="AA17" s="224"/>
      <c r="AB17" s="223"/>
    </row>
    <row r="18" spans="2:56" ht="27" customHeight="1">
      <c r="B18" s="44"/>
      <c r="C18" s="40"/>
      <c r="D18" s="149"/>
      <c r="E18" s="47"/>
      <c r="F18" s="47"/>
      <c r="G18" s="47"/>
      <c r="H18" s="47"/>
      <c r="I18" s="47"/>
      <c r="J18" s="47"/>
      <c r="K18" s="47"/>
      <c r="L18" s="47"/>
      <c r="M18" s="47"/>
      <c r="N18" s="47"/>
      <c r="O18" s="47"/>
      <c r="P18" s="179"/>
      <c r="Q18" s="47"/>
      <c r="R18" s="47"/>
      <c r="S18" s="394" t="s">
        <v>295</v>
      </c>
      <c r="T18" s="394"/>
      <c r="U18" s="394"/>
      <c r="V18" s="394"/>
      <c r="W18" s="394"/>
      <c r="X18" s="394"/>
      <c r="Y18" s="47"/>
      <c r="Z18" s="47"/>
      <c r="AA18" s="47"/>
      <c r="AB18" s="223"/>
    </row>
    <row r="19" spans="2:56" ht="15.95" customHeight="1">
      <c r="B19" s="44"/>
      <c r="C19" s="40"/>
      <c r="D19" s="149"/>
      <c r="E19" s="64"/>
      <c r="F19" s="394" t="s">
        <v>296</v>
      </c>
      <c r="G19" s="394"/>
      <c r="H19" s="394"/>
      <c r="I19" s="394"/>
      <c r="J19" s="394"/>
      <c r="K19" s="394"/>
      <c r="L19" s="103" t="s">
        <v>145</v>
      </c>
      <c r="M19" s="103"/>
      <c r="N19" s="103"/>
      <c r="O19" s="103" t="s">
        <v>146</v>
      </c>
      <c r="P19" s="179"/>
      <c r="Q19" s="47"/>
      <c r="R19" s="47"/>
      <c r="S19" s="148"/>
      <c r="T19" s="148"/>
      <c r="U19" s="148"/>
      <c r="V19" s="148"/>
      <c r="W19" s="148"/>
      <c r="X19" s="148"/>
      <c r="Y19" s="101"/>
      <c r="Z19" s="101"/>
      <c r="AA19" s="101"/>
      <c r="AB19" s="223"/>
    </row>
    <row r="20" spans="2:56" ht="13.5" customHeight="1">
      <c r="B20" s="44"/>
      <c r="C20" s="40"/>
      <c r="D20" s="149"/>
      <c r="E20" s="47"/>
      <c r="F20" s="47"/>
      <c r="G20" s="47"/>
      <c r="H20" s="47"/>
      <c r="I20" s="47"/>
      <c r="J20" s="47"/>
      <c r="K20" s="47"/>
      <c r="L20" s="103"/>
      <c r="M20" s="103"/>
      <c r="N20" s="103"/>
      <c r="O20" s="47"/>
      <c r="P20" s="179"/>
      <c r="Q20" s="47"/>
      <c r="R20" s="47"/>
      <c r="S20" s="394" t="s">
        <v>211</v>
      </c>
      <c r="T20" s="394"/>
      <c r="U20" s="394"/>
      <c r="V20" s="394"/>
      <c r="W20" s="394"/>
      <c r="X20" s="160" t="s">
        <v>212</v>
      </c>
      <c r="Y20" s="47"/>
      <c r="Z20" s="47"/>
      <c r="AA20" s="47"/>
      <c r="AB20" s="223"/>
    </row>
    <row r="21" spans="2:56" ht="54.75" customHeight="1">
      <c r="B21" s="44"/>
      <c r="C21" s="40"/>
      <c r="D21" s="149"/>
      <c r="E21" s="47"/>
      <c r="F21" s="393" t="s">
        <v>297</v>
      </c>
      <c r="G21" s="393"/>
      <c r="H21" s="393"/>
      <c r="I21" s="393"/>
      <c r="J21" s="393"/>
      <c r="K21" s="393"/>
      <c r="L21" s="192" t="e">
        <f>'Stage 2'!K48/'Stage 2'!K38</f>
        <v>#DIV/0!</v>
      </c>
      <c r="M21" s="188"/>
      <c r="N21" s="160" t="s">
        <v>175</v>
      </c>
      <c r="O21" s="167" t="s">
        <v>298</v>
      </c>
      <c r="P21" s="179"/>
      <c r="Q21" s="47"/>
      <c r="R21" s="46"/>
      <c r="S21" s="394" t="s">
        <v>213</v>
      </c>
      <c r="T21" s="394"/>
      <c r="U21" s="394"/>
      <c r="V21" s="394"/>
      <c r="W21" s="394"/>
      <c r="X21" s="178" t="s">
        <v>214</v>
      </c>
      <c r="Y21" s="101"/>
      <c r="Z21" s="101"/>
      <c r="AA21" s="101"/>
      <c r="AB21" s="223"/>
    </row>
    <row r="22" spans="2:56" ht="15.95" customHeight="1">
      <c r="B22" s="44"/>
      <c r="C22" s="40"/>
      <c r="D22" s="149"/>
      <c r="E22" s="47"/>
      <c r="F22" s="105"/>
      <c r="G22" s="105"/>
      <c r="H22" s="105"/>
      <c r="I22" s="105"/>
      <c r="J22" s="105"/>
      <c r="K22" s="105"/>
      <c r="L22" s="188"/>
      <c r="M22" s="188"/>
      <c r="N22" s="188"/>
      <c r="O22" s="167"/>
      <c r="P22" s="179"/>
      <c r="Q22" s="47"/>
      <c r="R22" s="46"/>
      <c r="S22" s="394" t="s">
        <v>215</v>
      </c>
      <c r="T22" s="394"/>
      <c r="U22" s="394"/>
      <c r="V22" s="394"/>
      <c r="W22" s="394"/>
      <c r="X22" s="160" t="s">
        <v>299</v>
      </c>
      <c r="Y22" s="101"/>
      <c r="Z22" s="101"/>
      <c r="AA22" s="101"/>
      <c r="AB22" s="223"/>
    </row>
    <row r="23" spans="2:56" ht="15.95" customHeight="1">
      <c r="B23" s="44"/>
      <c r="C23" s="40"/>
      <c r="D23" s="149"/>
      <c r="E23" s="47"/>
      <c r="F23" s="105"/>
      <c r="G23" s="105"/>
      <c r="H23" s="105"/>
      <c r="I23" s="105"/>
      <c r="J23" s="105"/>
      <c r="K23" s="105"/>
      <c r="L23" s="188"/>
      <c r="M23" s="188"/>
      <c r="N23" s="188"/>
      <c r="O23" s="167"/>
      <c r="P23" s="179"/>
      <c r="Q23" s="47"/>
      <c r="R23" s="46"/>
      <c r="S23" s="394" t="s">
        <v>218</v>
      </c>
      <c r="T23" s="394"/>
      <c r="U23" s="394"/>
      <c r="V23" s="394"/>
      <c r="W23" s="394"/>
      <c r="X23" s="160" t="s">
        <v>300</v>
      </c>
      <c r="Y23" s="101"/>
      <c r="Z23" s="101"/>
      <c r="AA23" s="101"/>
      <c r="AB23" s="223"/>
    </row>
    <row r="24" spans="2:56" ht="20.25" customHeight="1">
      <c r="B24" s="44"/>
      <c r="C24" s="40"/>
      <c r="D24" s="149"/>
      <c r="E24" s="47"/>
      <c r="F24" s="37"/>
      <c r="G24" s="47"/>
      <c r="H24" s="47"/>
      <c r="I24" s="47"/>
      <c r="J24" s="47"/>
      <c r="K24" s="47"/>
      <c r="L24" s="188"/>
      <c r="M24" s="188"/>
      <c r="N24" s="188"/>
      <c r="O24" s="167"/>
      <c r="P24" s="179"/>
      <c r="Q24" s="47"/>
      <c r="R24" s="455"/>
      <c r="S24" s="455"/>
      <c r="T24" s="455"/>
      <c r="U24" s="455"/>
      <c r="V24" s="455"/>
      <c r="W24" s="455"/>
      <c r="X24" s="455"/>
      <c r="Y24" s="455"/>
      <c r="Z24" s="455"/>
      <c r="AA24" s="455"/>
      <c r="AB24" s="456"/>
    </row>
    <row r="25" spans="2:56" ht="24" customHeight="1">
      <c r="B25" s="44"/>
      <c r="C25" s="40"/>
      <c r="D25" s="149"/>
      <c r="E25" s="47"/>
      <c r="F25" s="393" t="s">
        <v>301</v>
      </c>
      <c r="G25" s="393"/>
      <c r="H25" s="393"/>
      <c r="I25" s="393"/>
      <c r="J25" s="393"/>
      <c r="K25" s="393"/>
      <c r="L25" s="103"/>
      <c r="M25" s="103"/>
      <c r="N25" s="103"/>
      <c r="O25" s="167"/>
      <c r="P25" s="179"/>
      <c r="Q25" s="47"/>
      <c r="R25" s="47"/>
      <c r="S25" s="393" t="s">
        <v>302</v>
      </c>
      <c r="T25" s="393"/>
      <c r="U25" s="393"/>
      <c r="V25" s="393"/>
      <c r="W25" s="393"/>
      <c r="X25" s="47"/>
      <c r="Y25" s="198" t="s">
        <v>221</v>
      </c>
      <c r="Z25" s="198"/>
      <c r="AA25" s="198"/>
      <c r="AB25" s="223"/>
      <c r="AO25" s="94"/>
    </row>
    <row r="26" spans="2:56" ht="15.95" customHeight="1">
      <c r="B26" s="44"/>
      <c r="C26" s="40"/>
      <c r="D26" s="149"/>
      <c r="E26" s="437" t="str">
        <f>'Stage 2'!F19</f>
        <v>Residential urban</v>
      </c>
      <c r="F26" s="437"/>
      <c r="G26" s="437"/>
      <c r="H26" s="437"/>
      <c r="I26" s="437"/>
      <c r="J26" s="103"/>
      <c r="K26" s="225" t="str">
        <f>IF('Stage 2'!$K19&gt;0,SUM('Stage 2'!$O19,'Stage 2'!$P19,'Stage 2'!$Q19)/'Stage 2'!$K19,"")</f>
        <v/>
      </c>
      <c r="L26" s="310"/>
      <c r="M26" s="188"/>
      <c r="N26" s="160" t="s">
        <v>175</v>
      </c>
      <c r="O26" s="161" t="s">
        <v>298</v>
      </c>
      <c r="P26" s="179"/>
      <c r="Q26" s="47"/>
      <c r="R26" s="47"/>
      <c r="S26" s="437" t="str">
        <f t="shared" ref="S26:S37" si="0">E26</f>
        <v>Residential urban</v>
      </c>
      <c r="T26" s="437"/>
      <c r="U26" s="437"/>
      <c r="V26" s="437"/>
      <c r="W26" s="437"/>
      <c r="X26" s="160" t="s">
        <v>175</v>
      </c>
      <c r="Y26" s="458" t="e">
        <f>IF($X$15="Yes",IF($X$26="Yes",IF($X$22="650-675",'Data Tables'!Y42,IF($X$22="675-700",'Data Tables'!Y43,IF($X$22="700-750",'Data Tables'!Y44,IF($X$22="750-800",'Data Tables'!Y45,IF($X$22="800-850",'Data Tables'!Y46,IF($X$22="850-900",'Data Tables'!Y47,IF($X$22="900-950",'Data Tables'!Y48,IF($X$22="950-1000",'Data Tables'!Y49,IF($X$22="1000-1100",'Data Tables'!Y50,IF($X$22="1100-1200",'Data Tables'!Y51,'Data Tables'!Y52)))))))))),0),"")*(1-(X44/100))</f>
        <v>#VALUE!</v>
      </c>
      <c r="Z26" s="458"/>
      <c r="AA26" s="458"/>
      <c r="AB26" s="223"/>
      <c r="AN26" s="94"/>
      <c r="AP26" s="94"/>
    </row>
    <row r="27" spans="2:56" ht="15.95" customHeight="1">
      <c r="B27" s="44"/>
      <c r="C27" s="40"/>
      <c r="D27" s="149"/>
      <c r="E27" s="437" t="str">
        <f>'Stage 2'!F21</f>
        <v>Commercial / Industrial</v>
      </c>
      <c r="F27" s="437"/>
      <c r="G27" s="437"/>
      <c r="H27" s="437"/>
      <c r="I27" s="437"/>
      <c r="J27" s="103"/>
      <c r="K27" s="225" t="str">
        <f>IF('Stage 2'!$K21&gt;0,SUM('Stage 2'!$O21,'Stage 2'!$P21,'Stage 2'!$Q21)/'Stage 2'!$K21,"")</f>
        <v/>
      </c>
      <c r="L27" s="310"/>
      <c r="M27" s="188"/>
      <c r="N27" s="160" t="s">
        <v>175</v>
      </c>
      <c r="O27" s="161" t="s">
        <v>298</v>
      </c>
      <c r="P27" s="179"/>
      <c r="Q27" s="47"/>
      <c r="R27" s="47"/>
      <c r="S27" s="437" t="str">
        <f t="shared" si="0"/>
        <v>Commercial / Industrial</v>
      </c>
      <c r="T27" s="437"/>
      <c r="U27" s="437"/>
      <c r="V27" s="437"/>
      <c r="W27" s="437"/>
      <c r="X27" s="160" t="s">
        <v>175</v>
      </c>
      <c r="Y27" s="458" t="e">
        <f>IF($X$15="Yes",IF($X$27="Yes",IF($X$22="650-675",'Data Tables'!AB42,IF($X$22="675-700",'Data Tables'!AB43,IF($X$22="700-750",'Data Tables'!AB44,IF($X$22="750-800",'Data Tables'!AB45,IF($X$22="800-850",'Data Tables'!AB46,IF($X$22="850-900",'Data Tables'!AB47,IF($X$22="900-950",'Data Tables'!AB48,IF($X$22="950-1000",'Data Tables'!AB49,IF($X$22="1000-1100",'Data Tables'!AB50,IF($X$22="1100-1200",'Data Tables'!AB51,'Data Tables'!AB52)))))))))),0),"")*(1-(X44/100))</f>
        <v>#VALUE!</v>
      </c>
      <c r="Z27" s="458"/>
      <c r="AA27" s="458"/>
      <c r="AB27" s="223"/>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row>
    <row r="28" spans="2:56" ht="15.95" customHeight="1">
      <c r="B28" s="44"/>
      <c r="C28" s="40"/>
      <c r="D28" s="149"/>
      <c r="E28" s="437" t="str">
        <f>'Stage 2'!F22</f>
        <v>Urban open space</v>
      </c>
      <c r="F28" s="437"/>
      <c r="G28" s="437"/>
      <c r="H28" s="437"/>
      <c r="I28" s="437"/>
      <c r="J28" s="103"/>
      <c r="K28" s="225" t="str">
        <f>IF('Stage 2'!$K22&gt;0,SUM('Stage 2'!$O22,'Stage 2'!$P22,'Stage 2'!$Q22)/'Stage 2'!$K22,"")</f>
        <v/>
      </c>
      <c r="L28" s="310"/>
      <c r="M28" s="188"/>
      <c r="N28" s="160" t="s">
        <v>175</v>
      </c>
      <c r="O28" s="161" t="s">
        <v>298</v>
      </c>
      <c r="P28" s="179"/>
      <c r="Q28" s="47"/>
      <c r="R28" s="47"/>
      <c r="S28" s="437" t="str">
        <f t="shared" si="0"/>
        <v>Urban open space</v>
      </c>
      <c r="T28" s="437"/>
      <c r="U28" s="437"/>
      <c r="V28" s="437"/>
      <c r="W28" s="437"/>
      <c r="X28" s="160" t="s">
        <v>175</v>
      </c>
      <c r="Y28" s="458" t="e">
        <f>IF($X$15="Yes",IF($X$28="Yes",IF($X$22="650-675",'Data Tables'!AC42,IF($X$22="675-700",'Data Tables'!AC43,IF($X$22="700-750",'Data Tables'!AC44,IF($X$22="750-800",'Data Tables'!AC45,IF($X$22="800-850",'Data Tables'!AC46,IF($X$22="850-900",'Data Tables'!AC47,IF($X$22="900-950",'Data Tables'!AC48,IF($X$22="950-1000",'Data Tables'!AC49,IF($X$22="1000-1100",'Data Tables'!AC50,IF($X$22="1100-1200",'Data Tables'!AC51,'Data Tables'!AC52)))))))))),0),"")*(1-(X44/100))</f>
        <v>#VALUE!</v>
      </c>
      <c r="Z28" s="458"/>
      <c r="AA28" s="458"/>
      <c r="AB28" s="223"/>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row>
    <row r="29" spans="2:56" ht="15.95" customHeight="1">
      <c r="B29" s="44"/>
      <c r="C29" s="40"/>
      <c r="D29" s="149"/>
      <c r="E29" s="437" t="str">
        <f>'Stage 2'!F23</f>
        <v>Dairy</v>
      </c>
      <c r="F29" s="437"/>
      <c r="G29" s="437"/>
      <c r="H29" s="437"/>
      <c r="I29" s="437"/>
      <c r="J29" s="103"/>
      <c r="K29" s="225" t="str">
        <f>IF('Stage 2'!$K23&gt;0,SUM('Stage 2'!$O23,'Stage 2'!$P23,'Stage 2'!$Q23)/'Stage 2'!$K23,"")</f>
        <v/>
      </c>
      <c r="L29" s="310"/>
      <c r="M29" s="198"/>
      <c r="N29" s="160" t="s">
        <v>175</v>
      </c>
      <c r="O29" s="161" t="s">
        <v>298</v>
      </c>
      <c r="P29" s="179"/>
      <c r="Q29" s="47"/>
      <c r="R29" s="47"/>
      <c r="S29" s="437" t="str">
        <f t="shared" si="0"/>
        <v>Dairy</v>
      </c>
      <c r="T29" s="437"/>
      <c r="U29" s="437"/>
      <c r="V29" s="437"/>
      <c r="W29" s="437"/>
      <c r="X29" s="160" t="s">
        <v>175</v>
      </c>
      <c r="Y29" s="202" t="str">
        <f>IF($X$15="Yes",IF($X29="Yes",IF($X$20="Tone",((IF($X$21="Freely draining",IF($X$22="650-675",IF($X$23="Yes",'Data Tables'!O5,'Data Tables'!P5),IF($X$22="675-700",IF($X$23="Yes",'Data Tables'!O5,'Data Tables'!P5),IF($X$22="700-750",IF($X$23="Yes",'Data Tables'!U5,'Data Tables'!V5),IF($X$22="750-800",IF($X$23="Yes",'Data Tables'!U5,'Data Tables'!V5),IF($X$22="800-850",IF($X$23="Yes",'Data Tables'!U5,'Data Tables'!V5),IF($X$22="850-900",IF($X$23="Yes",'Data Tables'!U5,'Data Tables'!V5),IF($X$22="900-950",IF($X$23="Yes",'Data Tables'!AA5,'Data Tables'!AB5),IF($X$22="950-1000",IF($X$23="Yes",'Data Tables'!AA5,'Data Tables'!AB5),IF($X$22="1000-1100",IF($X$23="Yes",'Data Tables'!AA5,'Data Tables'!AB5),IF($X$22="1100-1200",IF($X$23="Yes",'Data Tables'!AA5,'Data Tables'!AB5),IF($X$23="Yes",'Data Tables'!AG5,'Data Tables'!AH5))))))))))),IF($X$21="Impermeable - drained for arable",IF($X$22="650-675",IF($X$23="Yes",'Data Tables'!Q5,'Data Tables'!R5),IF($X$22="675-700",IF($X$23="Yes",'Data Tables'!Q5,'Data Tables'!R5),IF($X$22="700-750",IF($X$23="Yes",'Data Tables'!W5,'Data Tables'!X5),IF($X$22="750-800",IF($X$23="Yes",'Data Tables'!W5,'Data Tables'!X5),IF($X$22="800-850",IF($X$23="Yes",'Data Tables'!W5,'Data Tables'!X5),IF($X$22="850-900",IF($X$23="Yes",'Data Tables'!W5,'Data Tables'!X5),IF($X$22="900-950",IF($X$23="Yes",'Data Tables'!AC5,'Data Tables'!AD5),IF($X$22="950-1000",IF($X$23="Yes",'Data Tables'!AC5,'Data Tables'!AD5),IF($X$22="1000-1100",IF($X$23="Yes",'Data Tables'!AC5,'Data Tables'!AD5),IF($X$22="1100-1200",IF($X$23="Yes",'Data Tables'!AC5,'Data Tables'!AD5),IF($X$23="Yes",'Data Tables'!AI5,'Data Tables'!AJ5))))))))))),IF($X$22="650-675",IF($X$23="Yes",'Data Tables'!S5,'Data Tables'!T5),IF($X$22="675-700",IF($X$23="Yes",'Data Tables'!S5,'Data Tables'!T5),IF($X$22="700-750",IF($X$23="Yes",'Data Tables'!Y5,'Data Tables'!Z5),IF($X$22="750-800",IF($X$23="Yes",'Data Tables'!Y5,'Data Tables'!Z5),IF($X$22="800-850",IF($X$23="Yes",'Data Tables'!Y5,'Data Tables'!Z5),IF($X$22="850-900",IF($X$23="Yes",'Data Tables'!Y5,'Data Tables'!Z5),IF($X$22="900-950",IF($X$23="Yes",'Data Tables'!AE5,'Data Tables'!AF5),IF($X$22="950-1000",IF($X$23="Yes",'Data Tables'!AE5,'Data Tables'!AF5),IF($X$22="1000-1100",IF($X$23="Yes",'Data Tables'!AE5,'Data Tables'!AF5),IF($X$22="1100-1200",IF($X$23="Yes",'Data Tables'!AE5,'Data Tables'!AF5),IF($X$23="Yes",'Data Tables'!AK5,'Data Tables'!AL5))))))))))))))),""),""),"")</f>
        <v/>
      </c>
      <c r="Z29" s="202" t="str">
        <f>IF($X$15="Yes",IF($X29="Yes",IF($X$20="Parrett",((IF($X$21="Freely draining",IF($X$22="650-675",IF($X$23="Yes",'Data Tables'!O17,'Data Tables'!P17),IF($X$22="675-700",IF($X$23="Yes",'Data Tables'!O17,'Data Tables'!P17),IF($X$22="700-750",IF($X$23="Yes",'Data Tables'!U17,'Data Tables'!V17),IF($X$22="750-800",IF($X$23="Yes",'Data Tables'!U17,'Data Tables'!V17),IF($X$22="800-850",IF($X$23="Yes",'Data Tables'!U17,'Data Tables'!V17),IF($X$22="850-900",IF($X$23="Yes",'Data Tables'!U17,'Data Tables'!V17),IF($X$22="900-950",IF($X$23="Yes",'Data Tables'!AA17,'Data Tables'!AB17),IF($X$22="950-1000",IF($X$23="Yes",'Data Tables'!AA17,'Data Tables'!AB17),IF($X$22="1000-1100",IF($X$23="Yes",'Data Tables'!AA17,'Data Tables'!AB17),IF($X$22="1100-1200",IF($X$23="Yes",'Data Tables'!AA17,'Data Tables'!AB17),IF($X$23="Yes",'Data Tables'!AG17,'Data Tables'!AH17))))))))))),IF($X$21="Impermeable - drained for arable",IF($X$22="650-675",IF($X$23="Yes",'Data Tables'!Q17,'Data Tables'!R17),IF($X$22="675-700",IF($X$23="Yes",'Data Tables'!Q17,'Data Tables'!R17),IF($X$22="700-750",IF($X$23="Yes",'Data Tables'!W17,'Data Tables'!X17),IF($X$22="750-800",IF($X$23="Yes",'Data Tables'!W17,'Data Tables'!X17),IF($X$22="800-850",IF($X$23="Yes",'Data Tables'!W17,'Data Tables'!X17),IF($X$22="850-900",IF($X$23="Yes",'Data Tables'!W17,'Data Tables'!X17),IF($X$22="900-950",IF($X$23="Yes",'Data Tables'!AC17,'Data Tables'!AD17),IF($X$22="950-1000",IF($X$23="Yes",'Data Tables'!AC17,'Data Tables'!AD17),IF($X$22="1000-1100",IF($X$23="Yes",'Data Tables'!AC17,'Data Tables'!AD17),IF($X$22="1100-1200",IF($X$23="Yes",'Data Tables'!AC17,'Data Tables'!AD17),IF($X$23="Yes",'Data Tables'!AI17,'Data Tables'!AJ17))))))))))),IF($X$22="650-675",IF($X$23="Yes",'Data Tables'!S17,'Data Tables'!T17),IF($X$22="675-700",IF($X$23="Yes",'Data Tables'!S17,'Data Tables'!T17),IF($X$22="700-750",IF($X$23="Yes",'Data Tables'!Y17,'Data Tables'!Z17),IF($X$22="750-800",IF($X$23="Yes",'Data Tables'!Y17,'Data Tables'!Z17),IF($X$22="800-850",IF($X$23="Yes",'Data Tables'!Y17,'Data Tables'!Z17),IF($X$22="850-900",IF($X$23="Yes",'Data Tables'!Y17,'Data Tables'!Z17),IF($X$22="900-950",IF($X$23="Yes",'Data Tables'!AE17,'Data Tables'!AF17),IF($X$22="950-1000",IF($X$23="Yes",'Data Tables'!AE17,'Data Tables'!AF17),IF($X$22="1000-1100",IF($X$23="Yes",'Data Tables'!AE17,'Data Tables'!AF17),IF($X$22="1100-1200",IF($X$23="Yes",'Data Tables'!AE17,'Data Tables'!AF17),IF($X$23="Yes",'Data Tables'!AK17,'Data Tables'!AL17))))))))))))))),""),""),"")</f>
        <v/>
      </c>
      <c r="AA29" s="202" t="str">
        <f>IF($X$15="Yes",IF($X29="Yes",IF($X$20="Brue &amp; Axe",IF($X$21="Freely draining",IF($X$22="650-675",IF($X$23="Yes",'Data Tables'!O29,'Data Tables'!P29),IF($X$22="675-700",IF($X$23="Yes",'Data Tables'!O29,'Data Tables'!P29),IF($X$22="700-750",IF($X$23="Yes",'Data Tables'!U29,'Data Tables'!V29),IF($X$22="750-800",IF($X$23="Yes",'Data Tables'!U29,'Data Tables'!V29),IF($X$22="800-850",IF($X$23="Yes",'Data Tables'!U29,'Data Tables'!V29),IF($X$22="850-900",IF($X$23="Yes",'Data Tables'!U29,'Data Tables'!V29),IF($X$22="900-950",IF($X$23="Yes",'Data Tables'!AA29,'Data Tables'!AB29),IF($X$22="950-1000",IF($X$23="Yes",'Data Tables'!AA29,'Data Tables'!AB29),IF($X$22="1000-1100",IF($X$23="Yes",'Data Tables'!AA29,'Data Tables'!AB29),IF($X$22="1100-1200",IF($X$23="Yes",'Data Tables'!AA29,'Data Tables'!AB29),IF($X$23="Yes",'Data Tables'!AG29,'Data Tables'!AH29))))))))))),IF($X$21="Impermeable - drained for arable",IF($X$22="650-675",IF($X$23="Yes",'Data Tables'!Q29,'Data Tables'!R29),IF($X$22="675-700",IF($X$23="Yes",'Data Tables'!Q29,'Data Tables'!R29),IF($X$22="700-750",IF($X$23="Yes",'Data Tables'!W29,'Data Tables'!X29),IF($X$22="750-800",IF($X$23="Yes",'Data Tables'!W29,'Data Tables'!X29),IF($X$22="800-850",IF($X$23="Yes",'Data Tables'!W29,'Data Tables'!X29),IF($X$22="850-900",IF($X$23="Yes",'Data Tables'!W29,'Data Tables'!X29),IF($X$22="900-950",IF($X$23="Yes",'Data Tables'!AC29,'Data Tables'!AD29),IF($X$22="950-1000",IF($X$23="Yes",'Data Tables'!AC29,'Data Tables'!AD29),IF($X$22="1000-1100",IF($X$23="Yes",'Data Tables'!AC29,'Data Tables'!AD29),IF($X$22="1100-1200",IF($X$23="Yes",'Data Tables'!AC29,'Data Tables'!AD29),IF($X$23="Yes",'Data Tables'!AI29,'Data Tables'!AJ29))))))))))),IF($X$22="650-675",IF($X$23="Yes",'Data Tables'!S29,'Data Tables'!T29),IF($X$22="675-700",IF($X$23="Yes",'Data Tables'!S29,'Data Tables'!T29),IF($X$22="700-750",IF($X$23="Yes",'Data Tables'!Y29,'Data Tables'!Z29),IF($X$22="750-800",IF($X$23="Yes",'Data Tables'!Y29,'Data Tables'!Z29),IF($X$22="800-850",IF($X$23="Yes",'Data Tables'!Y29,'Data Tables'!Z29),IF($X$22="850-900",IF($X$23="Yes",'Data Tables'!Y29,'Data Tables'!Z29),IF($X$22="900-950",IF($X$23="Yes",'Data Tables'!AE29,'Data Tables'!AF29),IF($X$22="950-1000",IF($X$23="Yes",'Data Tables'!AE29,'Data Tables'!AF29),IF($X$22="1000-1100",IF($X$23="Yes",'Data Tables'!AE29,'Data Tables'!AF29),IF($X$22="1100-1200",IF($X$23="Yes",'Data Tables'!AE29,'Data Tables'!AF29),IF($X$23="Yes",'Data Tables'!AK29,'Data Tables'!AL29))))))))))))),""),""),"")</f>
        <v/>
      </c>
      <c r="AB29" s="223"/>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row>
    <row r="30" spans="2:56" ht="15.95" customHeight="1">
      <c r="B30" s="44"/>
      <c r="C30" s="40"/>
      <c r="D30" s="149"/>
      <c r="E30" s="437" t="str">
        <f>'Stage 2'!F24</f>
        <v>Lowland grazing</v>
      </c>
      <c r="F30" s="437"/>
      <c r="G30" s="437"/>
      <c r="H30" s="437"/>
      <c r="I30" s="437"/>
      <c r="J30" s="103"/>
      <c r="K30" s="225" t="str">
        <f>IF('Stage 2'!$K24&gt;0,SUM('Stage 2'!$O24,'Stage 2'!$P24,'Stage 2'!$Q24)/'Stage 2'!$K24,"")</f>
        <v/>
      </c>
      <c r="L30" s="310"/>
      <c r="M30" s="152"/>
      <c r="N30" s="160" t="s">
        <v>175</v>
      </c>
      <c r="O30" s="161" t="s">
        <v>298</v>
      </c>
      <c r="P30" s="179"/>
      <c r="Q30" s="47"/>
      <c r="R30" s="47"/>
      <c r="S30" s="437" t="str">
        <f t="shared" si="0"/>
        <v>Lowland grazing</v>
      </c>
      <c r="T30" s="437"/>
      <c r="U30" s="437"/>
      <c r="V30" s="437"/>
      <c r="W30" s="437"/>
      <c r="X30" s="160" t="s">
        <v>175</v>
      </c>
      <c r="Y30" s="202" t="str">
        <f>IF($X$15="Yes",IF($X30="Yes",IF($X$20="Tone",((IF($X$21="Freely draining",IF($X$22="650-675",IF($X$23="Yes",'Data Tables'!O6,'Data Tables'!P6),IF($X$22="675-700",IF($X$23="Yes",'Data Tables'!O6,'Data Tables'!P6),IF($X$22="700-750",IF($X$23="Yes",'Data Tables'!U6,'Data Tables'!V6),IF($X$22="750-800",IF($X$23="Yes",'Data Tables'!U6,'Data Tables'!V6),IF($X$22="800-850",IF($X$23="Yes",'Data Tables'!U6,'Data Tables'!V6),IF($X$22="850-900",IF($X$23="Yes",'Data Tables'!U6,'Data Tables'!V6),IF($X$22="900-950",IF($X$23="Yes",'Data Tables'!AA6,'Data Tables'!AB6),IF($X$22="950-1000",IF($X$23="Yes",'Data Tables'!AA6,'Data Tables'!AB6),IF($X$22="1000-1100",IF($X$23="Yes",'Data Tables'!AA6,'Data Tables'!AB6),IF($X$22="1100-1200",IF($X$23="Yes",'Data Tables'!AA6,'Data Tables'!AB6),IF($X$23="Yes",'Data Tables'!AG6,'Data Tables'!AH6))))))))))),IF($X$21="Impermeable - drained for arable",IF($X$22="650-675",IF($X$23="Yes",'Data Tables'!Q6,'Data Tables'!R6),IF($X$22="675-700",IF($X$23="Yes",'Data Tables'!Q6,'Data Tables'!R6),IF($X$22="700-750",IF($X$23="Yes",'Data Tables'!W6,'Data Tables'!X6),IF($X$22="750-800",IF($X$23="Yes",'Data Tables'!W6,'Data Tables'!X6),IF($X$22="800-850",IF($X$23="Yes",'Data Tables'!W6,'Data Tables'!X6),IF($X$22="850-900",IF($X$23="Yes",'Data Tables'!W6,'Data Tables'!X6),IF($X$22="900-950",IF($X$23="Yes",'Data Tables'!AC6,'Data Tables'!AD6),IF($X$22="950-1000",IF($X$23="Yes",'Data Tables'!AC6,'Data Tables'!AD6),IF($X$22="1000-1100",IF($X$23="Yes",'Data Tables'!AC6,'Data Tables'!AD6),IF($X$22="1100-1200",IF($X$23="Yes",'Data Tables'!AC6,'Data Tables'!AD6),IF($X$23="Yes",'Data Tables'!AI6,'Data Tables'!AJ6))))))))))),IF($X$22="650-675",IF($X$23="Yes",'Data Tables'!S6,'Data Tables'!T6),IF($X$22="675-700",IF($X$23="Yes",'Data Tables'!S6,'Data Tables'!T6),IF($X$22="700-750",IF($X$23="Yes",'Data Tables'!Y6,'Data Tables'!Z6),IF($X$22="750-800",IF($X$23="Yes",'Data Tables'!Y6,'Data Tables'!Z6),IF($X$22="800-850",IF($X$23="Yes",'Data Tables'!Y6,'Data Tables'!Z6),IF($X$22="850-900",IF($X$23="Yes",'Data Tables'!Y6,'Data Tables'!Z6),IF($X$22="900-950",IF($X$23="Yes",'Data Tables'!AE6,'Data Tables'!AF6),IF($X$22="950-1000",IF($X$23="Yes",'Data Tables'!AE6,'Data Tables'!AF6),IF($X$22="1000-1100",IF($X$23="Yes",'Data Tables'!AE6,'Data Tables'!AF6),IF($X$22="1100-1200",IF($X$23="Yes",'Data Tables'!AE6,'Data Tables'!AF6),IF($X$23="Yes",'Data Tables'!AK6,'Data Tables'!AL6))))))))))))))),""),0),"")</f>
        <v/>
      </c>
      <c r="Z30" s="202" t="str">
        <f>IF($X$15="Yes",IF($X30="Yes",IF($X$20="Parrett",((IF($X$21="Freely draining",IF($X$22="650-675",IF($X$23="Yes",'Data Tables'!O18,'Data Tables'!P18),IF($X$22="675-700",IF($X$23="Yes",'Data Tables'!O18,'Data Tables'!P18),IF($X$22="700-750",IF($X$23="Yes",'Data Tables'!U18,'Data Tables'!V18),IF($X$22="750-800",IF($X$23="Yes",'Data Tables'!U18,'Data Tables'!V18),IF($X$22="800-850",IF($X$23="Yes",'Data Tables'!U18,'Data Tables'!V18),IF($X$22="850-900",IF($X$23="Yes",'Data Tables'!U18,'Data Tables'!V18),IF($X$22="900-950",IF($X$23="Yes",'Data Tables'!AA18,'Data Tables'!AB18),IF($X$22="950-1000",IF($X$23="Yes",'Data Tables'!AA18,'Data Tables'!AB18),IF($X$22="1000-1100",IF($X$23="Yes",'Data Tables'!AA18,'Data Tables'!AB18),IF($X$22="1100-1200",IF($X$23="Yes",'Data Tables'!AA18,'Data Tables'!AB18),IF($X$23="Yes",'Data Tables'!AG18,'Data Tables'!AH18))))))))))),IF($X$21="Impermeable - drained for arable",IF($X$22="650-675",IF($X$23="Yes",'Data Tables'!Q18,'Data Tables'!R18),IF($X$22="675-700",IF($X$23="Yes",'Data Tables'!Q18,'Data Tables'!R18),IF($X$22="700-750",IF($X$23="Yes",'Data Tables'!W18,'Data Tables'!X18),IF($X$22="750-800",IF($X$23="Yes",'Data Tables'!W18,'Data Tables'!X18),IF($X$22="800-850",IF($X$23="Yes",'Data Tables'!W18,'Data Tables'!X18),IF($X$22="850-900",IF($X$23="Yes",'Data Tables'!W18,'Data Tables'!X18),IF($X$22="900-950",IF($X$23="Yes",'Data Tables'!AC18,'Data Tables'!AD18),IF($X$22="950-1000",IF($X$23="Yes",'Data Tables'!AC18,'Data Tables'!AD18),IF($X$22="1000-1100",IF($X$23="Yes",'Data Tables'!AC18,'Data Tables'!AD18),IF($X$22="1100-1200",IF($X$23="Yes",'Data Tables'!AC18,'Data Tables'!AD18),IF($X$23="Yes",'Data Tables'!AI18,'Data Tables'!AJ18))))))))))),IF($X$22="650-675",IF($X$23="Yes",'Data Tables'!S18,'Data Tables'!T18),IF($X$22="675-700",IF($X$23="Yes",'Data Tables'!S18,'Data Tables'!T18),IF($X$22="700-750",IF($X$23="Yes",'Data Tables'!Y18,'Data Tables'!Z18),IF($X$22="750-800",IF($X$23="Yes",'Data Tables'!Y18,'Data Tables'!Z18),IF($X$22="800-850",IF($X$23="Yes",'Data Tables'!Y18,'Data Tables'!Z18),IF($X$22="850-900",IF($X$23="Yes",'Data Tables'!Y18,'Data Tables'!Z18),IF($X$22="900-950",IF($X$23="Yes",'Data Tables'!AE18,'Data Tables'!AF18),IF($X$22="950-1000",IF($X$23="Yes",'Data Tables'!AE18,'Data Tables'!AF18),IF($X$22="1000-1100",IF($X$23="Yes",'Data Tables'!AE18,'Data Tables'!AF18),IF($X$22="1100-1200",IF($X$23="Yes",'Data Tables'!AE18,'Data Tables'!AF18),IF($X$23="Yes",'Data Tables'!AK18,'Data Tables'!AL18))))))))))))))),""),""),"")</f>
        <v/>
      </c>
      <c r="AA30" s="202" t="str">
        <f>IF($X$15="Yes",IF($X30="Yes",IF($X$20="Brue &amp; Axe",IF($X$21="Freely draining",IF($X$22="650-675",IF($X$23="Yes",'Data Tables'!O30,'Data Tables'!P30),IF($X$22="675-700",IF($X$23="Yes",'Data Tables'!O30,'Data Tables'!P30),IF($X$22="700-750",IF($X$23="Yes",'Data Tables'!U30,'Data Tables'!V30),IF($X$22="750-800",IF($X$23="Yes",'Data Tables'!U30,'Data Tables'!V30),IF($X$22="800-850",IF($X$23="Yes",'Data Tables'!U30,'Data Tables'!V30),IF($X$22="850-900",IF($X$23="Yes",'Data Tables'!U30,'Data Tables'!V30),IF($X$22="900-950",IF($X$23="Yes",'Data Tables'!AA30,'Data Tables'!AB30),IF($X$22="950-1000",IF($X$23="Yes",'Data Tables'!AA30,'Data Tables'!AB30),IF($X$22="1000-1100",IF($X$23="Yes",'Data Tables'!AA30,'Data Tables'!AB30),IF($X$22="1100-1200",IF($X$23="Yes",'Data Tables'!AA30,'Data Tables'!AB30),IF($X$23="Yes",'Data Tables'!AG30,'Data Tables'!AH30))))))))))),IF($X$21="Impermeable - drained for arable",IF($X$22="650-675",IF($X$23="Yes",'Data Tables'!Q30,'Data Tables'!R30),IF($X$22="675-700",IF($X$23="Yes",'Data Tables'!Q30,'Data Tables'!R30),IF($X$22="700-750",IF($X$23="Yes",'Data Tables'!W30,'Data Tables'!X30),IF($X$22="750-800",IF($X$23="Yes",'Data Tables'!W30,'Data Tables'!X30),IF($X$22="800-850",IF($X$23="Yes",'Data Tables'!W30,'Data Tables'!X30),IF($X$22="850-900",IF($X$23="Yes",'Data Tables'!W30,'Data Tables'!X30),IF($X$22="900-950",IF($X$23="Yes",'Data Tables'!AC30,'Data Tables'!AD30),IF($X$22="950-1000",IF($X$23="Yes",'Data Tables'!AC30,'Data Tables'!AD30),IF($X$22="1000-1100",IF($X$23="Yes",'Data Tables'!AC30,'Data Tables'!AD30),IF($X$22="1100-1200",IF($X$23="Yes",'Data Tables'!AC30,'Data Tables'!AD30),IF($X$23="Yes",'Data Tables'!AI30,'Data Tables'!AJ30))))))))))),IF($X$22="650-675",IF($X$23="Yes",'Data Tables'!S30,'Data Tables'!T30),IF($X$22="675-700",IF($X$23="Yes",'Data Tables'!S30,'Data Tables'!T30),IF($X$22="700-750",IF($X$23="Yes",'Data Tables'!Y30,'Data Tables'!Z30),IF($X$22="750-800",IF($X$23="Yes",'Data Tables'!Y30,'Data Tables'!Z30),IF($X$22="800-850",IF($X$23="Yes",'Data Tables'!Y30,'Data Tables'!Z30),IF($X$22="850-900",IF($X$23="Yes",'Data Tables'!Y30,'Data Tables'!Z30),IF($X$22="900-950",IF($X$23="Yes",'Data Tables'!AE30,'Data Tables'!AF30),IF($X$22="950-1000",IF($X$23="Yes",'Data Tables'!AE30,'Data Tables'!AF30),IF($X$22="1000-1100",IF($X$23="Yes",'Data Tables'!AE30,'Data Tables'!AF30),IF($X$22="1100-1200",IF($X$23="Yes",'Data Tables'!AE30,'Data Tables'!AF30),IF($X$23="Yes",'Data Tables'!AK30,'Data Tables'!AL30))))))))))))),""),""),"")</f>
        <v/>
      </c>
      <c r="AB30" s="223"/>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row>
    <row r="31" spans="2:56" ht="15.95" customHeight="1">
      <c r="B31" s="44"/>
      <c r="C31" s="40"/>
      <c r="D31" s="149"/>
      <c r="E31" s="437" t="str">
        <f>'Stage 2'!F25</f>
        <v>Mixed agriculture</v>
      </c>
      <c r="F31" s="437"/>
      <c r="G31" s="437"/>
      <c r="H31" s="437"/>
      <c r="I31" s="437"/>
      <c r="J31" s="103"/>
      <c r="K31" s="225" t="str">
        <f>IF('Stage 2'!$K25&gt;0,SUM('Stage 2'!$O25,'Stage 2'!$P25,'Stage 2'!$Q25)/'Stage 2'!$K25,"")</f>
        <v/>
      </c>
      <c r="L31" s="310"/>
      <c r="M31" s="152"/>
      <c r="N31" s="160" t="s">
        <v>175</v>
      </c>
      <c r="O31" s="161" t="s">
        <v>298</v>
      </c>
      <c r="P31" s="179"/>
      <c r="Q31" s="47"/>
      <c r="R31" s="47"/>
      <c r="S31" s="437" t="str">
        <f t="shared" si="0"/>
        <v>Mixed agriculture</v>
      </c>
      <c r="T31" s="437"/>
      <c r="U31" s="437"/>
      <c r="V31" s="437"/>
      <c r="W31" s="437"/>
      <c r="X31" s="160" t="s">
        <v>175</v>
      </c>
      <c r="Y31" s="202" t="str">
        <f>IF($X$15="Yes",IF($X31="Yes",IF($X$20="Tone",((IF($X$21="Freely draining",IF($X$22="650-675",IF($X$23="Yes",'Data Tables'!O7,'Data Tables'!P7),IF($X$22="675-700",IF($X$23="Yes",'Data Tables'!O7,'Data Tables'!P7),IF($X$22="700-750",IF($X$23="Yes",'Data Tables'!U7,'Data Tables'!V7),IF($X$22="750-800",IF($X$23="Yes",'Data Tables'!U7,'Data Tables'!V7),IF($X$22="800-850",IF($X$23="Yes",'Data Tables'!U7,'Data Tables'!V7),IF($X$22="850-900",IF($X$23="Yes",'Data Tables'!U7,'Data Tables'!V7),IF($X$22="900-950",IF($X$23="Yes",'Data Tables'!AA7,'Data Tables'!AB7),IF($X$22="950-1000",IF($X$23="Yes",'Data Tables'!AA7,'Data Tables'!AB7),IF($X$22="1000-1100",IF($X$23="Yes",'Data Tables'!AA7,'Data Tables'!AB7),IF($X$22="1100-1200",IF($X$23="Yes",'Data Tables'!AA7,'Data Tables'!AB7),IF($X$23="Yes",'Data Tables'!AG7,'Data Tables'!AH7))))))))))),IF($X$21="Impermeable - drained for arable",IF($X$22="650-675",IF($X$23="Yes",'Data Tables'!Q7,'Data Tables'!R7),IF($X$22="675-700",IF($X$23="Yes",'Data Tables'!Q7,'Data Tables'!R7),IF($X$22="700-750",IF($X$23="Yes",'Data Tables'!W7,'Data Tables'!X7),IF($X$22="750-800",IF($X$23="Yes",'Data Tables'!W7,'Data Tables'!X7),IF($X$22="800-850",IF($X$23="Yes",'Data Tables'!W7,'Data Tables'!X7),IF($X$22="850-900",IF($X$23="Yes",'Data Tables'!W7,'Data Tables'!X7),IF($X$22="900-950",IF($X$23="Yes",'Data Tables'!AC7,'Data Tables'!AD7),IF($X$22="950-1000",IF($X$23="Yes",'Data Tables'!AC7,'Data Tables'!AD7),IF($X$22="1000-1100",IF($X$23="Yes",'Data Tables'!AC7,'Data Tables'!AD7),IF($X$22="1100-1200",IF($X$23="Yes",'Data Tables'!AC7,'Data Tables'!AD7),IF($X$23="Yes",'Data Tables'!AI7,'Data Tables'!AJ7))))))))))),IF($X$22="650-675",IF($X$23="Yes",'Data Tables'!S7,'Data Tables'!T7),IF($X$22="675-700",IF($X$23="Yes",'Data Tables'!S7,'Data Tables'!T7),IF($X$22="700-750",IF($X$23="Yes",'Data Tables'!Y7,'Data Tables'!Z7),IF($X$22="750-800",IF($X$23="Yes",'Data Tables'!Y7,'Data Tables'!Z7),IF($X$22="800-850",IF($X$23="Yes",'Data Tables'!Y7,'Data Tables'!Z7),IF($X$22="850-900",IF($X$23="Yes",'Data Tables'!Y7,'Data Tables'!Z7),IF($X$22="900-950",IF($X$23="Yes",'Data Tables'!AE7,'Data Tables'!AF7),IF($X$22="950-1000",IF($X$23="Yes",'Data Tables'!AE7,'Data Tables'!AF7),IF($X$22="1000-1100",IF($X$23="Yes",'Data Tables'!AE7,'Data Tables'!AF7),IF($X$22="1100-1200",IF($X$23="Yes",'Data Tables'!AE7,'Data Tables'!AF7),IF($X$23="Yes",'Data Tables'!AK7,'Data Tables'!AL7))))))))))))))),""),""),"")</f>
        <v/>
      </c>
      <c r="Z31" s="202" t="str">
        <f>IF($X$15="Yes",IF($X31="Yes",IF($X$20="Parrett",((IF($X$21="Freely draining",IF($X$22="650-675",IF($X$23="Yes",'Data Tables'!O19,'Data Tables'!P19),IF($X$22="675-700",IF($X$23="Yes",'Data Tables'!O19,'Data Tables'!P19),IF($X$22="700-750",IF($X$23="Yes",'Data Tables'!U19,'Data Tables'!V19),IF($X$22="750-800",IF($X$23="Yes",'Data Tables'!U19,'Data Tables'!V19),IF($X$22="800-850",IF($X$23="Yes",'Data Tables'!U19,'Data Tables'!V19),IF($X$22="850-900",IF($X$23="Yes",'Data Tables'!U19,'Data Tables'!V19),IF($X$22="900-950",IF($X$23="Yes",'Data Tables'!AA19,'Data Tables'!AB19),IF($X$22="950-1000",IF($X$23="Yes",'Data Tables'!AA19,'Data Tables'!AB19),IF($X$22="1000-1100",IF($X$23="Yes",'Data Tables'!AA19,'Data Tables'!AB19),IF($X$22="1100-1200",IF($X$23="Yes",'Data Tables'!AA19,'Data Tables'!AB19),IF($X$23="Yes",'Data Tables'!AG19,'Data Tables'!AH19))))))))))),IF($X$21="Impermeable - drained for arable",IF($X$22="650-675",IF($X$23="Yes",'Data Tables'!Q19,'Data Tables'!R19),IF($X$22="675-700",IF($X$23="Yes",'Data Tables'!Q19,'Data Tables'!R19),IF($X$22="700-750",IF($X$23="Yes",'Data Tables'!W19,'Data Tables'!X19),IF($X$22="750-800",IF($X$23="Yes",'Data Tables'!W19,'Data Tables'!X19),IF($X$22="800-850",IF($X$23="Yes",'Data Tables'!W19,'Data Tables'!X19),IF($X$22="850-900",IF($X$23="Yes",'Data Tables'!W19,'Data Tables'!X19),IF($X$22="900-950",IF($X$23="Yes",'Data Tables'!AC19,'Data Tables'!AD19),IF($X$22="950-1000",IF($X$23="Yes",'Data Tables'!AC19,'Data Tables'!AD19),IF($X$22="1000-1100",IF($X$23="Yes",'Data Tables'!AC19,'Data Tables'!AD19),IF($X$22="1100-1200",IF($X$23="Yes",'Data Tables'!AC19,'Data Tables'!AD19),IF($X$23="Yes",'Data Tables'!AI19,'Data Tables'!AJ19))))))))))),IF($X$22="650-675",IF($X$23="Yes",'Data Tables'!S19,'Data Tables'!T19),IF($X$22="675-700",IF($X$23="Yes",'Data Tables'!S19,'Data Tables'!T19),IF($X$22="700-750",IF($X$23="Yes",'Data Tables'!Y19,'Data Tables'!Z19),IF($X$22="750-800",IF($X$23="Yes",'Data Tables'!Y19,'Data Tables'!Z19),IF($X$22="800-850",IF($X$23="Yes",'Data Tables'!Y19,'Data Tables'!Z19),IF($X$22="850-900",IF($X$23="Yes",'Data Tables'!Y19,'Data Tables'!Z19),IF($X$22="900-950",IF($X$23="Yes",'Data Tables'!AE19,'Data Tables'!AF19),IF($X$22="950-1000",IF($X$23="Yes",'Data Tables'!AE19,'Data Tables'!AF19),IF($X$22="1000-1100",IF($X$23="Yes",'Data Tables'!AE19,'Data Tables'!AF19),IF($X$22="1100-1200",IF($X$23="Yes",'Data Tables'!AE19,'Data Tables'!AF19),IF($X$23="Yes",'Data Tables'!AK19,'Data Tables'!AL19))))))))))))))),""),""),"")</f>
        <v/>
      </c>
      <c r="AA31" s="202" t="str">
        <f>IF($X$15="Yes",IF($X31="Yes",IF($X$20="Brue &amp; Axe",IF($X$21="Freely draining",IF($X$22="650-675",IF($X$23="Yes",'Data Tables'!O31,'Data Tables'!P31),IF($X$22="675-700",IF($X$23="Yes",'Data Tables'!O31,'Data Tables'!P31),IF($X$22="700-750",IF($X$23="Yes",'Data Tables'!U31,'Data Tables'!V31),IF($X$22="750-800",IF($X$23="Yes",'Data Tables'!U31,'Data Tables'!V31),IF($X$22="800-850",IF($X$23="Yes",'Data Tables'!U31,'Data Tables'!V31),IF($X$22="850-900",IF($X$23="Yes",'Data Tables'!U31,'Data Tables'!V31),IF($X$22="900-950",IF($X$23="Yes",'Data Tables'!AA31,'Data Tables'!AB31),IF($X$22="950-1000",IF($X$23="Yes",'Data Tables'!AA31,'Data Tables'!AB31),IF($X$22="1000-1100",IF($X$23="Yes",'Data Tables'!AA31,'Data Tables'!AB31),IF($X$22="1100-1200",IF($X$23="Yes",'Data Tables'!AA31,'Data Tables'!AB31),IF($X$23="Yes",'Data Tables'!AG31,'Data Tables'!AH31))))))))))),IF($X$21="Impermeable - drained for arable",IF($X$22="650-675",IF($X$23="Yes",'Data Tables'!Q31,'Data Tables'!R31),IF($X$22="675-700",IF($X$23="Yes",'Data Tables'!Q31,'Data Tables'!R31),IF($X$22="700-750",IF($X$23="Yes",'Data Tables'!W31,'Data Tables'!X31),IF($X$22="750-800",IF($X$23="Yes",'Data Tables'!W31,'Data Tables'!X31),IF($X$22="800-850",IF($X$23="Yes",'Data Tables'!W31,'Data Tables'!X31),IF($X$22="850-900",IF($X$23="Yes",'Data Tables'!W31,'Data Tables'!X31),IF($X$22="900-950",IF($X$23="Yes",'Data Tables'!AC31,'Data Tables'!AD31),IF($X$22="950-1000",IF($X$23="Yes",'Data Tables'!AC31,'Data Tables'!AD31),IF($X$22="1000-1100",IF($X$23="Yes",'Data Tables'!AC31,'Data Tables'!AD31),IF($X$22="1100-1200",IF($X$23="Yes",'Data Tables'!AC31,'Data Tables'!AD31),IF($X$23="Yes",'Data Tables'!AI31,'Data Tables'!AJ31))))))))))),IF($X$22="650-675",IF($X$23="Yes",'Data Tables'!S31,'Data Tables'!T31),IF($X$22="675-700",IF($X$23="Yes",'Data Tables'!S31,'Data Tables'!T31),IF($X$22="700-750",IF($X$23="Yes",'Data Tables'!Y31,'Data Tables'!Z31),IF($X$22="750-800",IF($X$23="Yes",'Data Tables'!Y31,'Data Tables'!Z31),IF($X$22="800-850",IF($X$23="Yes",'Data Tables'!Y31,'Data Tables'!Z31),IF($X$22="850-900",IF($X$23="Yes",'Data Tables'!Y31,'Data Tables'!Z31),IF($X$22="900-950",IF($X$23="Yes",'Data Tables'!AE31,'Data Tables'!AF31),IF($X$22="950-1000",IF($X$23="Yes",'Data Tables'!AE31,'Data Tables'!AF31),IF($X$22="1000-1100",IF($X$23="Yes",'Data Tables'!AE31,'Data Tables'!AF31),IF($X$22="1100-1200",IF($X$23="Yes",'Data Tables'!AE31,'Data Tables'!AF31),IF($X$23="Yes",'Data Tables'!AK31,'Data Tables'!AL31))))))))))))),""),""),"")</f>
        <v/>
      </c>
      <c r="AB31" s="223"/>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row>
    <row r="32" spans="2:56" ht="15.95" customHeight="1">
      <c r="B32" s="44"/>
      <c r="C32" s="40"/>
      <c r="D32" s="149"/>
      <c r="E32" s="437" t="str">
        <f>'Stage 2'!F26</f>
        <v>Poultry</v>
      </c>
      <c r="F32" s="437"/>
      <c r="G32" s="437"/>
      <c r="H32" s="437"/>
      <c r="I32" s="437"/>
      <c r="J32" s="103"/>
      <c r="K32" s="225" t="str">
        <f>IF('Stage 2'!$K26&gt;0,SUM('Stage 2'!$O26,'Stage 2'!$P26,'Stage 2'!$Q26)/'Stage 2'!$K26,"")</f>
        <v/>
      </c>
      <c r="L32" s="310"/>
      <c r="M32" s="152"/>
      <c r="N32" s="160" t="s">
        <v>175</v>
      </c>
      <c r="O32" s="161" t="s">
        <v>298</v>
      </c>
      <c r="P32" s="179"/>
      <c r="Q32" s="47"/>
      <c r="R32" s="47"/>
      <c r="S32" s="437" t="str">
        <f t="shared" si="0"/>
        <v>Poultry</v>
      </c>
      <c r="T32" s="437"/>
      <c r="U32" s="437"/>
      <c r="V32" s="437"/>
      <c r="W32" s="437"/>
      <c r="X32" s="160" t="s">
        <v>175</v>
      </c>
      <c r="Y32" s="202" t="str">
        <f>IF($X$15="Yes",IF($X32="Yes",IF($X$20="Tone",((IF($X$21="Freely draining",IF($X$22="650-675",IF($X$23="Yes",'Data Tables'!O8,'Data Tables'!P8),IF($X$22="675-700",IF($X$23="Yes",'Data Tables'!O8,'Data Tables'!P8),IF($X$22="700-750",IF($X$23="Yes",'Data Tables'!U8,'Data Tables'!V8),IF($X$22="750-800",IF($X$23="Yes",'Data Tables'!U8,'Data Tables'!V8),IF($X$22="800-850",IF($X$23="Yes",'Data Tables'!U8,'Data Tables'!V8),IF($X$22="850-900",IF($X$23="Yes",'Data Tables'!U8,'Data Tables'!V8),IF($X$22="900-950",IF($X$23="Yes",'Data Tables'!AA8,'Data Tables'!AB8),IF($X$22="950-1000",IF($X$23="Yes",'Data Tables'!AA8,'Data Tables'!AB8),IF($X$22="1000-1100",IF($X$23="Yes",'Data Tables'!AA8,'Data Tables'!AB8),IF($X$22="1100-1200",IF($X$23="Yes",'Data Tables'!AA8,'Data Tables'!AB8),IF($X$23="Yes",'Data Tables'!AG8,'Data Tables'!AH8))))))))))),IF($X$21="Impermeable - drained for arable",IF($X$22="650-675",IF($X$23="Yes",'Data Tables'!Q8,'Data Tables'!R8),IF($X$22="675-700",IF($X$23="Yes",'Data Tables'!Q8,'Data Tables'!R8),IF($X$22="700-750",IF($X$23="Yes",'Data Tables'!W8,'Data Tables'!X8),IF($X$22="750-800",IF($X$23="Yes",'Data Tables'!W8,'Data Tables'!X8),IF($X$22="800-850",IF($X$23="Yes",'Data Tables'!W8,'Data Tables'!X8),IF($X$22="850-900",IF($X$23="Yes",'Data Tables'!W8,'Data Tables'!X8),IF($X$22="900-950",IF($X$23="Yes",'Data Tables'!AC8,'Data Tables'!AD8),IF($X$22="950-1000",IF($X$23="Yes",'Data Tables'!AC8,'Data Tables'!AD8),IF($X$22="1000-1100",IF($X$23="Yes",'Data Tables'!AC8,'Data Tables'!AD8),IF($X$22="1100-1200",IF($X$23="Yes",'Data Tables'!AC8,'Data Tables'!AD8),IF($X$23="Yes",'Data Tables'!AI8,'Data Tables'!AJ8))))))))))),IF($X$22="650-675",IF($X$23="Yes",'Data Tables'!S8,'Data Tables'!T8),IF($X$22="675-700",IF($X$23="Yes",'Data Tables'!S8,'Data Tables'!T8),IF($X$22="700-750",IF($X$23="Yes",'Data Tables'!Y8,'Data Tables'!Z8),IF($X$22="750-800",IF($X$23="Yes",'Data Tables'!Y8,'Data Tables'!Z8),IF($X$22="800-850",IF($X$23="Yes",'Data Tables'!Y8,'Data Tables'!Z8),IF($X$22="850-900",IF($X$23="Yes",'Data Tables'!Y8,'Data Tables'!Z8),IF($X$22="900-950",IF($X$23="Yes",'Data Tables'!AE8,'Data Tables'!AF8),IF($X$22="950-1000",IF($X$23="Yes",'Data Tables'!AE8,'Data Tables'!AF8),IF($X$22="1000-1100",IF($X$23="Yes",'Data Tables'!AE8,'Data Tables'!AF8),IF($X$22="1100-1200",IF($X$23="Yes",'Data Tables'!AE8,'Data Tables'!AF8),IF($X$23="Yes",'Data Tables'!AK8,'Data Tables'!AL8))))))))))))))),""),""),"")</f>
        <v/>
      </c>
      <c r="Z32" s="202" t="str">
        <f>IF($X$15="Yes",IF($X32="Yes",IF($X$20="Parrett",((IF($X$21="Freely draining",IF($X$22="650-675",IF($X$23="Yes",'Data Tables'!O20,'Data Tables'!P20),IF($X$22="675-700",IF($X$23="Yes",'Data Tables'!O20,'Data Tables'!P20),IF($X$22="700-750",IF($X$23="Yes",'Data Tables'!U20,'Data Tables'!V20),IF($X$22="750-800",IF($X$23="Yes",'Data Tables'!U20,'Data Tables'!V20),IF($X$22="800-850",IF($X$23="Yes",'Data Tables'!U20,'Data Tables'!V20),IF($X$22="850-900",IF($X$23="Yes",'Data Tables'!U20,'Data Tables'!V20),IF($X$22="900-950",IF($X$23="Yes",'Data Tables'!AA20,'Data Tables'!AB20),IF($X$22="950-1000",IF($X$23="Yes",'Data Tables'!AA20,'Data Tables'!AB20),IF($X$22="1000-1100",IF($X$23="Yes",'Data Tables'!AA20,'Data Tables'!AB20),IF($X$22="1100-1200",IF($X$23="Yes",'Data Tables'!AA20,'Data Tables'!AB20),IF($X$23="Yes",'Data Tables'!AG20,'Data Tables'!AH20))))))))))),IF($X$21="Impermeable - drained for arable",IF($X$22="650-675",IF($X$23="Yes",'Data Tables'!Q20,'Data Tables'!R20),IF($X$22="675-700",IF($X$23="Yes",'Data Tables'!Q20,'Data Tables'!R20),IF($X$22="700-750",IF($X$23="Yes",'Data Tables'!W20,'Data Tables'!X20),IF($X$22="750-800",IF($X$23="Yes",'Data Tables'!W20,'Data Tables'!X20),IF($X$22="800-850",IF($X$23="Yes",'Data Tables'!W20,'Data Tables'!X20),IF($X$22="850-900",IF($X$23="Yes",'Data Tables'!W20,'Data Tables'!X20),IF($X$22="900-950",IF($X$23="Yes",'Data Tables'!AC20,'Data Tables'!AD20),IF($X$22="950-1000",IF($X$23="Yes",'Data Tables'!AC20,'Data Tables'!AD20),IF($X$22="1000-1100",IF($X$23="Yes",'Data Tables'!AC20,'Data Tables'!AD20),IF($X$22="1100-1200",IF($X$23="Yes",'Data Tables'!AC20,'Data Tables'!AD20),IF($X$23="Yes",'Data Tables'!AI20,'Data Tables'!AJ20))))))))))),IF($X$22="650-675",IF($X$23="Yes",'Data Tables'!S20,'Data Tables'!T20),IF($X$22="675-700",IF($X$23="Yes",'Data Tables'!S20,'Data Tables'!T20),IF($X$22="700-750",IF($X$23="Yes",'Data Tables'!Y20,'Data Tables'!Z20),IF($X$22="750-800",IF($X$23="Yes",'Data Tables'!Y20,'Data Tables'!Z20),IF($X$22="800-850",IF($X$23="Yes",'Data Tables'!Y20,'Data Tables'!Z20),IF($X$22="850-900",IF($X$23="Yes",'Data Tables'!Y20,'Data Tables'!Z20),IF($X$22="900-950",IF($X$23="Yes",'Data Tables'!AE20,'Data Tables'!AF20),IF($X$22="950-1000",IF($X$23="Yes",'Data Tables'!AE20,'Data Tables'!AF20),IF($X$22="1000-1100",IF($X$23="Yes",'Data Tables'!AE20,'Data Tables'!AF20),IF($X$22="1100-1200",IF($X$23="Yes",'Data Tables'!AE20,'Data Tables'!AF20),IF($X$23="Yes",'Data Tables'!AK20,'Data Tables'!AL20))))))))))))))),""),""),"")</f>
        <v/>
      </c>
      <c r="AA32" s="202" t="str">
        <f>IF($X$15="Yes",IF($X32="Yes",IF($X$20="Brue &amp; Axe",IF($X$21="Freely draining",IF($X$22="650-675",IF($X$23="Yes",'Data Tables'!O32,'Data Tables'!P32),IF($X$22="675-700",IF($X$23="Yes",'Data Tables'!O32,'Data Tables'!P32),IF($X$22="700-750",IF($X$23="Yes",'Data Tables'!U32,'Data Tables'!V32),IF($X$22="750-800",IF($X$23="Yes",'Data Tables'!U32,'Data Tables'!V32),IF($X$22="800-850",IF($X$23="Yes",'Data Tables'!U32,'Data Tables'!V32),IF($X$22="850-900",IF($X$23="Yes",'Data Tables'!U32,'Data Tables'!V32),IF($X$22="900-950",IF($X$23="Yes",'Data Tables'!AA32,'Data Tables'!AB32),IF($X$22="950-1000",IF($X$23="Yes",'Data Tables'!AA32,'Data Tables'!AB32),IF($X$22="1000-1100",IF($X$23="Yes",'Data Tables'!AA32,'Data Tables'!AB32),IF($X$22="1100-1200",IF($X$23="Yes",'Data Tables'!AA32,'Data Tables'!AB32),IF($X$23="Yes",'Data Tables'!AG32,'Data Tables'!AH32))))))))))),IF($X$21="Impermeable - drained for arable",IF($X$22="650-675",IF($X$23="Yes",'Data Tables'!Q32,'Data Tables'!R32),IF($X$22="675-700",IF($X$23="Yes",'Data Tables'!Q32,'Data Tables'!R32),IF($X$22="700-750",IF($X$23="Yes",'Data Tables'!W32,'Data Tables'!X32),IF($X$22="750-800",IF($X$23="Yes",'Data Tables'!W32,'Data Tables'!X32),IF($X$22="800-850",IF($X$23="Yes",'Data Tables'!W32,'Data Tables'!X32),IF($X$22="850-900",IF($X$23="Yes",'Data Tables'!W32,'Data Tables'!X32),IF($X$22="900-950",IF($X$23="Yes",'Data Tables'!AC32,'Data Tables'!AD32),IF($X$22="950-1000",IF($X$23="Yes",'Data Tables'!AC32,'Data Tables'!AD32),IF($X$22="1000-1100",IF($X$23="Yes",'Data Tables'!AC32,'Data Tables'!AD32),IF($X$22="1100-1200",IF($X$23="Yes",'Data Tables'!AC32,'Data Tables'!AD32),IF($X$23="Yes",'Data Tables'!AI32,'Data Tables'!AJ32))))))))))),IF($X$22="650-675",IF($X$23="Yes",'Data Tables'!S32,'Data Tables'!T32),IF($X$22="675-700",IF($X$23="Yes",'Data Tables'!S32,'Data Tables'!T32),IF($X$22="700-750",IF($X$23="Yes",'Data Tables'!Y32,'Data Tables'!Z32),IF($X$22="750-800",IF($X$23="Yes",'Data Tables'!Y32,'Data Tables'!Z32),IF($X$22="800-850",IF($X$23="Yes",'Data Tables'!Y32,'Data Tables'!Z32),IF($X$22="850-900",IF($X$23="Yes",'Data Tables'!Y32,'Data Tables'!Z32),IF($X$22="900-950",IF($X$23="Yes",'Data Tables'!AE32,'Data Tables'!AF32),IF($X$22="950-1000",IF($X$23="Yes",'Data Tables'!AE32,'Data Tables'!AF32),IF($X$22="1000-1100",IF($X$23="Yes",'Data Tables'!AE32,'Data Tables'!AF32),IF($X$22="1100-1200",IF($X$23="Yes",'Data Tables'!AE32,'Data Tables'!AF32),IF($X$23="Yes",'Data Tables'!AK32,'Data Tables'!AL32))))))))))))),""),""),"")</f>
        <v/>
      </c>
      <c r="AB32" s="223"/>
      <c r="AE32" s="82"/>
      <c r="AF32" s="82"/>
      <c r="AG32" s="82"/>
      <c r="AH32" s="82"/>
      <c r="AI32" s="82"/>
      <c r="AJ32" s="82"/>
      <c r="AK32" s="82"/>
      <c r="AL32" s="82"/>
      <c r="AM32" s="82"/>
      <c r="AN32" s="82"/>
      <c r="AO32" s="82"/>
      <c r="AP32" s="82"/>
      <c r="AQ32" s="82"/>
      <c r="AS32" s="82"/>
      <c r="AT32" s="82"/>
      <c r="AU32" s="82"/>
      <c r="AV32" s="82"/>
      <c r="AW32" s="82"/>
      <c r="AX32" s="82"/>
      <c r="AY32" s="82"/>
      <c r="AZ32" s="82"/>
    </row>
    <row r="33" spans="2:52" ht="15.95" customHeight="1">
      <c r="B33" s="44"/>
      <c r="C33" s="40"/>
      <c r="D33" s="149"/>
      <c r="E33" s="437" t="str">
        <f>'Stage 2'!F27</f>
        <v>Pigs</v>
      </c>
      <c r="F33" s="437"/>
      <c r="G33" s="437"/>
      <c r="H33" s="437"/>
      <c r="I33" s="437"/>
      <c r="J33" s="103"/>
      <c r="K33" s="225" t="str">
        <f>IF('Stage 2'!$K27&gt;0,SUM('Stage 2'!$O27,'Stage 2'!$P27,'Stage 2'!$Q27)/'Stage 2'!$K27,"")</f>
        <v/>
      </c>
      <c r="L33" s="310"/>
      <c r="M33" s="152"/>
      <c r="N33" s="160" t="s">
        <v>175</v>
      </c>
      <c r="O33" s="161" t="s">
        <v>298</v>
      </c>
      <c r="P33" s="179"/>
      <c r="Q33" s="47"/>
      <c r="R33" s="47"/>
      <c r="S33" s="437" t="str">
        <f t="shared" si="0"/>
        <v>Pigs</v>
      </c>
      <c r="T33" s="437"/>
      <c r="U33" s="437"/>
      <c r="V33" s="437"/>
      <c r="W33" s="437"/>
      <c r="X33" s="160" t="s">
        <v>175</v>
      </c>
      <c r="Y33" s="202" t="str">
        <f>IF($X$15="Yes",IF($X33="Yes",IF($X$20="Tone",((IF($X$21="Freely draining",IF($X$22="650-675",IF($X$23="Yes",'Data Tables'!O9,'Data Tables'!P9),IF($X$22="675-700",IF($X$23="Yes",'Data Tables'!O9,'Data Tables'!P9),IF($X$22="700-750",IF($X$23="Yes",'Data Tables'!U9,'Data Tables'!V9),IF($X$22="750-800",IF($X$23="Yes",'Data Tables'!U9,'Data Tables'!V9),IF($X$22="800-850",IF($X$23="Yes",'Data Tables'!U9,'Data Tables'!V9),IF($X$22="850-900",IF($X$23="Yes",'Data Tables'!U9,'Data Tables'!V9),IF($X$22="900-950",IF($X$23="Yes",'Data Tables'!AA9,'Data Tables'!AB9),IF($X$22="950-1000",IF($X$23="Yes",'Data Tables'!AA9,'Data Tables'!AB9),IF($X$22="1000-1100",IF($X$23="Yes",'Data Tables'!AA9,'Data Tables'!AB9),IF($X$22="1100-1200",IF($X$23="Yes",'Data Tables'!AA9,'Data Tables'!AB9),IF($X$23="Yes",'Data Tables'!AG9,'Data Tables'!AH9))))))))))),IF($X$21="Impermeable - drained for arable",IF($X$22="650-675",IF($X$23="Yes",'Data Tables'!Q9,'Data Tables'!R9),IF($X$22="675-700",IF($X$23="Yes",'Data Tables'!Q9,'Data Tables'!R9),IF($X$22="700-750",IF($X$23="Yes",'Data Tables'!W9,'Data Tables'!X9),IF($X$22="750-800",IF($X$23="Yes",'Data Tables'!W9,'Data Tables'!X9),IF($X$22="800-850",IF($X$23="Yes",'Data Tables'!W9,'Data Tables'!X9),IF($X$22="850-900",IF($X$23="Yes",'Data Tables'!W9,'Data Tables'!X9),IF($X$22="900-950",IF($X$23="Yes",'Data Tables'!AC9,'Data Tables'!AD9),IF($X$22="950-1000",IF($X$23="Yes",'Data Tables'!AC9,'Data Tables'!AD9),IF($X$22="1000-1100",IF($X$23="Yes",'Data Tables'!AC9,'Data Tables'!AD9),IF($X$22="1100-1200",IF($X$23="Yes",'Data Tables'!AC9,'Data Tables'!AD9),IF($X$23="Yes",'Data Tables'!AI9,'Data Tables'!AJ9))))))))))),IF($X$22="650-675",IF($X$23="Yes",'Data Tables'!S9,'Data Tables'!T9),IF($X$22="675-700",IF($X$23="Yes",'Data Tables'!S9,'Data Tables'!T9),IF($X$22="700-750",IF($X$23="Yes",'Data Tables'!Y9,'Data Tables'!Z9),IF($X$22="750-800",IF($X$23="Yes",'Data Tables'!Y9,'Data Tables'!Z9),IF($X$22="800-850",IF($X$23="Yes",'Data Tables'!Y9,'Data Tables'!Z9),IF($X$22="850-900",IF($X$23="Yes",'Data Tables'!Y9,'Data Tables'!Z9),IF($X$22="900-950",IF($X$23="Yes",'Data Tables'!AE9,'Data Tables'!AF9),IF($X$22="950-1000",IF($X$23="Yes",'Data Tables'!AE9,'Data Tables'!AF9),IF($X$22="1000-1100",IF($X$23="Yes",'Data Tables'!AE9,'Data Tables'!AF9),IF($X$22="1100-1200",IF($X$23="Yes",'Data Tables'!AE9,'Data Tables'!AF9),IF($X$23="Yes",'Data Tables'!AK9,'Data Tables'!AL9))))))))))))))),""),""),"")</f>
        <v/>
      </c>
      <c r="Z33" s="202" t="str">
        <f>IF($X$15="Yes",IF($X33="Yes",IF($X$20="Parrett",((IF($X$21="Freely draining",IF($X$22="650-675",IF($X$23="Yes",'Data Tables'!O21,'Data Tables'!P21),IF($X$22="675-700",IF($X$23="Yes",'Data Tables'!O21,'Data Tables'!P21),IF($X$22="700-750",IF($X$23="Yes",'Data Tables'!U21,'Data Tables'!V21),IF($X$22="750-800",IF($X$23="Yes",'Data Tables'!U21,'Data Tables'!V21),IF($X$22="800-850",IF($X$23="Yes",'Data Tables'!U21,'Data Tables'!V21),IF($X$22="850-900",IF($X$23="Yes",'Data Tables'!U21,'Data Tables'!V21),IF($X$22="900-950",IF($X$23="Yes",'Data Tables'!AA21,'Data Tables'!AB21),IF($X$22="950-1000",IF($X$23="Yes",'Data Tables'!AA21,'Data Tables'!AB21),IF($X$22="1000-1100",IF($X$23="Yes",'Data Tables'!AA21,'Data Tables'!AB21),IF($X$22="1100-1200",IF($X$23="Yes",'Data Tables'!AA21,'Data Tables'!AB21),IF($X$23="Yes",'Data Tables'!AG21,'Data Tables'!AH21))))))))))),IF($X$21="Impermeable - drained for arable",IF($X$22="650-675",IF($X$23="Yes",'Data Tables'!Q21,'Data Tables'!R21),IF($X$22="675-700",IF($X$23="Yes",'Data Tables'!Q21,'Data Tables'!R21),IF($X$22="700-750",IF($X$23="Yes",'Data Tables'!W21,'Data Tables'!X21),IF($X$22="750-800",IF($X$23="Yes",'Data Tables'!W21,'Data Tables'!X21),IF($X$22="800-850",IF($X$23="Yes",'Data Tables'!W21,'Data Tables'!X21),IF($X$22="850-900",IF($X$23="Yes",'Data Tables'!W21,'Data Tables'!X21),IF($X$22="900-950",IF($X$23="Yes",'Data Tables'!AC21,'Data Tables'!AD21),IF($X$22="950-1000",IF($X$23="Yes",'Data Tables'!AC21,'Data Tables'!AD21),IF($X$22="1000-1100",IF($X$23="Yes",'Data Tables'!AC21,'Data Tables'!AD21),IF($X$22="1100-1200",IF($X$23="Yes",'Data Tables'!AC21,'Data Tables'!AD21),IF($X$23="Yes",'Data Tables'!AI21,'Data Tables'!AJ21))))))))))),IF($X$22="650-675",IF($X$23="Yes",'Data Tables'!S21,'Data Tables'!T21),IF($X$22="675-700",IF($X$23="Yes",'Data Tables'!S21,'Data Tables'!T21),IF($X$22="700-750",IF($X$23="Yes",'Data Tables'!Y21,'Data Tables'!Z21),IF($X$22="750-800",IF($X$23="Yes",'Data Tables'!Y21,'Data Tables'!Z21),IF($X$22="800-850",IF($X$23="Yes",'Data Tables'!Y21,'Data Tables'!Z21),IF($X$22="850-900",IF($X$23="Yes",'Data Tables'!Y21,'Data Tables'!Z21),IF($X$22="900-950",IF($X$23="Yes",'Data Tables'!AE21,'Data Tables'!AF21),IF($X$22="950-1000",IF($X$23="Yes",'Data Tables'!AE21,'Data Tables'!AF21),IF($X$22="1000-1100",IF($X$23="Yes",'Data Tables'!AE21,'Data Tables'!AF21),IF($X$22="1100-1200",IF($X$23="Yes",'Data Tables'!AE21,'Data Tables'!AF21),IF($X$23="Yes",'Data Tables'!AK21,'Data Tables'!AL21))))))))))))))),""),""),"")</f>
        <v/>
      </c>
      <c r="AA33" s="202" t="str">
        <f>IF($X$15="Yes",IF($X33="Yes",IF($X$20="Brue &amp; Axe",IF($X$21="Freely draining",IF($X$22="650-675",IF($X$23="Yes",'Data Tables'!O33,'Data Tables'!P33),IF($X$22="675-700",IF($X$23="Yes",'Data Tables'!O33,'Data Tables'!P33),IF($X$22="700-750",IF($X$23="Yes",'Data Tables'!U33,'Data Tables'!V33),IF($X$22="750-800",IF($X$23="Yes",'Data Tables'!U33,'Data Tables'!V33),IF($X$22="800-850",IF($X$23="Yes",'Data Tables'!U33,'Data Tables'!V33),IF($X$22="850-900",IF($X$23="Yes",'Data Tables'!U33,'Data Tables'!V33),IF($X$22="900-950",IF($X$23="Yes",'Data Tables'!AA33,'Data Tables'!AB33),IF($X$22="950-1000",IF($X$23="Yes",'Data Tables'!AA33,'Data Tables'!AB33),IF($X$22="1000-1100",IF($X$23="Yes",'Data Tables'!AA33,'Data Tables'!AB33),IF($X$22="1100-1200",IF($X$23="Yes",'Data Tables'!AA33,'Data Tables'!AB33),IF($X$23="Yes",'Data Tables'!AG33,'Data Tables'!AH33))))))))))),IF($X$21="Impermeable - drained for arable",IF($X$22="650-675",IF($X$23="Yes",'Data Tables'!Q33,'Data Tables'!R33),IF($X$22="675-700",IF($X$23="Yes",'Data Tables'!Q33,'Data Tables'!R33),IF($X$22="700-750",IF($X$23="Yes",'Data Tables'!W33,'Data Tables'!X33),IF($X$22="750-800",IF($X$23="Yes",'Data Tables'!W33,'Data Tables'!X33),IF($X$22="800-850",IF($X$23="Yes",'Data Tables'!W33,'Data Tables'!X33),IF($X$22="850-900",IF($X$23="Yes",'Data Tables'!W33,'Data Tables'!X33),IF($X$22="900-950",IF($X$23="Yes",'Data Tables'!AC33,'Data Tables'!AD33),IF($X$22="950-1000",IF($X$23="Yes",'Data Tables'!AC33,'Data Tables'!AD33),IF($X$22="1000-1100",IF($X$23="Yes",'Data Tables'!AC33,'Data Tables'!AD33),IF($X$22="1100-1200",IF($X$23="Yes",'Data Tables'!AC33,'Data Tables'!AD33),IF($X$23="Yes",'Data Tables'!AI33,'Data Tables'!AJ33))))))))))),IF($X$22="650-675",IF($X$23="Yes",'Data Tables'!S33,'Data Tables'!T33),IF($X$22="675-700",IF($X$23="Yes",'Data Tables'!S33,'Data Tables'!T33),IF($X$22="700-750",IF($X$23="Yes",'Data Tables'!Y33,'Data Tables'!Z33),IF($X$22="750-800",IF($X$23="Yes",'Data Tables'!Y33,'Data Tables'!Z33),IF($X$22="800-850",IF($X$23="Yes",'Data Tables'!Y33,'Data Tables'!Z33),IF($X$22="850-900",IF($X$23="Yes",'Data Tables'!Y33,'Data Tables'!Z33),IF($X$22="900-950",IF($X$23="Yes",'Data Tables'!AE33,'Data Tables'!AF33),IF($X$22="950-1000",IF($X$23="Yes",'Data Tables'!AE33,'Data Tables'!AF33),IF($X$22="1000-1100",IF($X$23="Yes",'Data Tables'!AE33,'Data Tables'!AF33),IF($X$22="1100-1200",IF($X$23="Yes",'Data Tables'!AE33,'Data Tables'!AF33),IF($X$23="Yes",'Data Tables'!AK33,'Data Tables'!AL33))))))))))))),""),""),"")</f>
        <v/>
      </c>
      <c r="AB33" s="223"/>
      <c r="AE33" s="82"/>
      <c r="AF33" s="82"/>
      <c r="AG33" s="82"/>
      <c r="AH33" s="82"/>
      <c r="AI33" s="82"/>
      <c r="AJ33" s="82"/>
      <c r="AK33" s="82"/>
      <c r="AL33" s="82"/>
      <c r="AM33" s="82"/>
      <c r="AN33" s="82"/>
      <c r="AO33" s="82"/>
      <c r="AP33" s="82"/>
      <c r="AQ33" s="82"/>
      <c r="AS33" s="82"/>
      <c r="AT33" s="82"/>
      <c r="AU33" s="82"/>
      <c r="AV33" s="82"/>
      <c r="AW33" s="82"/>
      <c r="AX33" s="82"/>
      <c r="AY33" s="82"/>
      <c r="AZ33" s="82"/>
    </row>
    <row r="34" spans="2:52" ht="15.95" customHeight="1">
      <c r="B34" s="44"/>
      <c r="C34" s="40"/>
      <c r="D34" s="149"/>
      <c r="E34" s="437" t="str">
        <f>'Stage 2'!F28</f>
        <v>Horticulture</v>
      </c>
      <c r="F34" s="437"/>
      <c r="G34" s="437"/>
      <c r="H34" s="437"/>
      <c r="I34" s="437"/>
      <c r="J34" s="103"/>
      <c r="K34" s="225" t="str">
        <f>IF('Stage 2'!$K28&gt;0,SUM('Stage 2'!$O28,'Stage 2'!$P28,'Stage 2'!$Q28)/'Stage 2'!$K28,"")</f>
        <v/>
      </c>
      <c r="L34" s="310"/>
      <c r="M34" s="152"/>
      <c r="N34" s="160" t="s">
        <v>175</v>
      </c>
      <c r="O34" s="161" t="s">
        <v>298</v>
      </c>
      <c r="P34" s="179"/>
      <c r="Q34" s="47"/>
      <c r="R34" s="47"/>
      <c r="S34" s="437" t="str">
        <f t="shared" si="0"/>
        <v>Horticulture</v>
      </c>
      <c r="T34" s="437"/>
      <c r="U34" s="437"/>
      <c r="V34" s="437"/>
      <c r="W34" s="437"/>
      <c r="X34" s="160" t="s">
        <v>175</v>
      </c>
      <c r="Y34" s="202" t="str">
        <f>IF($X$15="Yes",IF($X34="Yes",IF($X$20="Tone",((IF($X$21="Freely draining",IF($X$22="650-675",IF($X$23="Yes",'Data Tables'!O10,'Data Tables'!P10),IF($X$22="675-700",IF($X$23="Yes",'Data Tables'!O10,'Data Tables'!P10),IF($X$22="700-750",IF($X$23="Yes",'Data Tables'!U10,'Data Tables'!V10),IF($X$22="750-800",IF($X$23="Yes",'Data Tables'!U10,'Data Tables'!V10),IF($X$22="800-850",IF($X$23="Yes",'Data Tables'!U10,'Data Tables'!V10),IF($X$22="850-900",IF($X$23="Yes",'Data Tables'!U10,'Data Tables'!V10),IF($X$22="900-950",IF($X$23="Yes",'Data Tables'!AA10,'Data Tables'!AB10),IF($X$22="950-1000",IF($X$23="Yes",'Data Tables'!AA10,'Data Tables'!AB10),IF($X$22="1000-1100",IF($X$23="Yes",'Data Tables'!AA10,'Data Tables'!AB10),IF($X$22="1100-1200",IF($X$23="Yes",'Data Tables'!AA10,'Data Tables'!AB10),IF($X$23="Yes",'Data Tables'!AG10,'Data Tables'!AH10))))))))))),IF($X$21="Impermeable - drained for arable",IF($X$22="650-675",IF($X$23="Yes",'Data Tables'!Q10,'Data Tables'!R10),IF($X$22="675-700",IF($X$23="Yes",'Data Tables'!Q10,'Data Tables'!R10),IF($X$22="700-750",IF($X$23="Yes",'Data Tables'!W10,'Data Tables'!X10),IF($X$22="750-800",IF($X$23="Yes",'Data Tables'!W10,'Data Tables'!X10),IF($X$22="800-850",IF($X$23="Yes",'Data Tables'!W10,'Data Tables'!X10),IF($X$22="850-900",IF($X$23="Yes",'Data Tables'!W10,'Data Tables'!X10),IF($X$22="900-950",IF($X$23="Yes",'Data Tables'!AC10,'Data Tables'!AD10),IF($X$22="950-1000",IF($X$23="Yes",'Data Tables'!AC10,'Data Tables'!AD10),IF($X$22="1000-1100",IF($X$23="Yes",'Data Tables'!AC10,'Data Tables'!AD10),IF($X$22="1100-1200",IF($X$23="Yes",'Data Tables'!AC10,'Data Tables'!AD10),IF($X$23="Yes",'Data Tables'!AI10,'Data Tables'!AJ10))))))))))),IF($X$22="650-675",IF($X$23="Yes",'Data Tables'!S10,'Data Tables'!T10),IF($X$22="675-700",IF($X$23="Yes",'Data Tables'!S10,'Data Tables'!T10),IF($X$22="700-750",IF($X$23="Yes",'Data Tables'!Y10,'Data Tables'!Z10),IF($X$22="750-800",IF($X$23="Yes",'Data Tables'!Y10,'Data Tables'!Z10),IF($X$22="800-850",IF($X$23="Yes",'Data Tables'!Y10,'Data Tables'!Z10),IF($X$22="850-900",IF($X$23="Yes",'Data Tables'!Y10,'Data Tables'!Z10),IF($X$22="900-950",IF($X$23="Yes",'Data Tables'!AE10,'Data Tables'!AF10),IF($X$22="950-1000",IF($X$23="Yes",'Data Tables'!AE10,'Data Tables'!AF10),IF($X$22="1000-1100",IF($X$23="Yes",'Data Tables'!AE10,'Data Tables'!AF10),IF($X$22="1100-1200",IF($X$23="Yes",'Data Tables'!AE10,'Data Tables'!AF10),IF($X$23="Yes",'Data Tables'!AK10,'Data Tables'!AL10))))))))))))))),""),""),"")</f>
        <v/>
      </c>
      <c r="Z34" s="202" t="str">
        <f>IF($X$15="Yes",IF($X34="Yes",IF($X$20="Parrett",((IF($X$21="Freely draining",IF($X$22="650-675",IF($X$23="Yes",'Data Tables'!O22,'Data Tables'!P22),IF($X$22="675-700",IF($X$23="Yes",'Data Tables'!O22,'Data Tables'!P22),IF($X$22="700-750",IF($X$23="Yes",'Data Tables'!U22,'Data Tables'!V22),IF($X$22="750-800",IF($X$23="Yes",'Data Tables'!U22,'Data Tables'!V22),IF($X$22="800-850",IF($X$23="Yes",'Data Tables'!U22,'Data Tables'!V22),IF($X$22="850-900",IF($X$23="Yes",'Data Tables'!U22,'Data Tables'!V22),IF($X$22="900-950",IF($X$23="Yes",'Data Tables'!AA22,'Data Tables'!AB22),IF($X$22="950-1000",IF($X$23="Yes",'Data Tables'!AA22,'Data Tables'!AB22),IF($X$22="1000-1100",IF($X$23="Yes",'Data Tables'!AA22,'Data Tables'!AB22),IF($X$22="1100-1200",IF($X$23="Yes",'Data Tables'!AA22,'Data Tables'!AB22),IF($X$23="Yes",'Data Tables'!AG22,'Data Tables'!AH22))))))))))),IF($X$21="Impermeable - drained for arable",IF($X$22="650-675",IF($X$23="Yes",'Data Tables'!Q22,'Data Tables'!R22),IF($X$22="675-700",IF($X$23="Yes",'Data Tables'!Q22,'Data Tables'!R22),IF($X$22="700-750",IF($X$23="Yes",'Data Tables'!W22,'Data Tables'!X22),IF($X$22="750-800",IF($X$23="Yes",'Data Tables'!W22,'Data Tables'!X22),IF($X$22="800-850",IF($X$23="Yes",'Data Tables'!W22,'Data Tables'!X22),IF($X$22="850-900",IF($X$23="Yes",'Data Tables'!W22,'Data Tables'!X22),IF($X$22="900-950",IF($X$23="Yes",'Data Tables'!AC22,'Data Tables'!AD22),IF($X$22="950-1000",IF($X$23="Yes",'Data Tables'!AC22,'Data Tables'!AD22),IF($X$22="1000-1100",IF($X$23="Yes",'Data Tables'!AC22,'Data Tables'!AD22),IF($X$22="1100-1200",IF($X$23="Yes",'Data Tables'!AC22,'Data Tables'!AD22),IF($X$23="Yes",'Data Tables'!AI22,'Data Tables'!AJ22))))))))))),IF($X$22="650-675",IF($X$23="Yes",'Data Tables'!S22,'Data Tables'!T22),IF($X$22="675-700",IF($X$23="Yes",'Data Tables'!S22,'Data Tables'!T22),IF($X$22="700-750",IF($X$23="Yes",'Data Tables'!Y22,'Data Tables'!Z22),IF($X$22="750-800",IF($X$23="Yes",'Data Tables'!Y22,'Data Tables'!Z22),IF($X$22="800-850",IF($X$23="Yes",'Data Tables'!Y22,'Data Tables'!Z22),IF($X$22="850-900",IF($X$23="Yes",'Data Tables'!Y22,'Data Tables'!Z22),IF($X$22="900-950",IF($X$23="Yes",'Data Tables'!AE22,'Data Tables'!AF22),IF($X$22="950-1000",IF($X$23="Yes",'Data Tables'!AE22,'Data Tables'!AF22),IF($X$22="1000-1100",IF($X$23="Yes",'Data Tables'!AE22,'Data Tables'!AF22),IF($X$22="1100-1200",IF($X$23="Yes",'Data Tables'!AE22,'Data Tables'!AF22),IF($X$23="Yes",'Data Tables'!AK22,'Data Tables'!AL22))))))))))))))),""),""),"")</f>
        <v/>
      </c>
      <c r="AA34" s="202" t="str">
        <f>IF($X$15="Yes",IF($X34="Yes",IF($X$20="Brue &amp; Axe",IF($X$21="Freely draining",IF($X$22="650-675",IF($X$23="Yes",'Data Tables'!O34,'Data Tables'!P34),IF($X$22="675-700",IF($X$23="Yes",'Data Tables'!O34,'Data Tables'!P34),IF($X$22="700-750",IF($X$23="Yes",'Data Tables'!U34,'Data Tables'!V34),IF($X$22="750-800",IF($X$23="Yes",'Data Tables'!U34,'Data Tables'!V34),IF($X$22="800-850",IF($X$23="Yes",'Data Tables'!U34,'Data Tables'!V34),IF($X$22="850-900",IF($X$23="Yes",'Data Tables'!U34,'Data Tables'!V34),IF($X$22="900-950",IF($X$23="Yes",'Data Tables'!AA34,'Data Tables'!AB34),IF($X$22="950-1000",IF($X$23="Yes",'Data Tables'!AA34,'Data Tables'!AB34),IF($X$22="1000-1100",IF($X$23="Yes",'Data Tables'!AA34,'Data Tables'!AB34),IF($X$22="1100-1200",IF($X$23="Yes",'Data Tables'!AA34,'Data Tables'!AB34),IF($X$23="Yes",'Data Tables'!AG34,'Data Tables'!AH34))))))))))),IF($X$21="Impermeable - drained for arable",IF($X$22="650-675",IF($X$23="Yes",'Data Tables'!Q34,'Data Tables'!R34),IF($X$22="675-700",IF($X$23="Yes",'Data Tables'!Q34,'Data Tables'!R34),IF($X$22="700-750",IF($X$23="Yes",'Data Tables'!W34,'Data Tables'!X34),IF($X$22="750-800",IF($X$23="Yes",'Data Tables'!W34,'Data Tables'!X34),IF($X$22="800-850",IF($X$23="Yes",'Data Tables'!W34,'Data Tables'!X34),IF($X$22="850-900",IF($X$23="Yes",'Data Tables'!W34,'Data Tables'!X34),IF($X$22="900-950",IF($X$23="Yes",'Data Tables'!AC34,'Data Tables'!AD34),IF($X$22="950-1000",IF($X$23="Yes",'Data Tables'!AC34,'Data Tables'!AD34),IF($X$22="1000-1100",IF($X$23="Yes",'Data Tables'!AC34,'Data Tables'!AD34),IF($X$22="1100-1200",IF($X$23="Yes",'Data Tables'!AC34,'Data Tables'!AD34),IF($X$23="Yes",'Data Tables'!AI34,'Data Tables'!AJ34))))))))))),IF($X$22="650-675",IF($X$23="Yes",'Data Tables'!S34,'Data Tables'!T34),IF($X$22="675-700",IF($X$23="Yes",'Data Tables'!S34,'Data Tables'!T34),IF($X$22="700-750",IF($X$23="Yes",'Data Tables'!Y34,'Data Tables'!Z34),IF($X$22="750-800",IF($X$23="Yes",'Data Tables'!Y34,'Data Tables'!Z34),IF($X$22="800-850",IF($X$23="Yes",'Data Tables'!Y34,'Data Tables'!Z34),IF($X$22="850-900",IF($X$23="Yes",'Data Tables'!Y34,'Data Tables'!Z34),IF($X$22="900-950",IF($X$23="Yes",'Data Tables'!AE34,'Data Tables'!AF34),IF($X$22="950-1000",IF($X$23="Yes",'Data Tables'!AE34,'Data Tables'!AF34),IF($X$22="1000-1100",IF($X$23="Yes",'Data Tables'!AE34,'Data Tables'!AF34),IF($X$22="1100-1200",IF($X$23="Yes",'Data Tables'!AE34,'Data Tables'!AF34),IF($X$23="Yes",'Data Tables'!AK34,'Data Tables'!AL34))))))))))))),""),""),"")</f>
        <v/>
      </c>
      <c r="AB34" s="223"/>
      <c r="AE34" s="82"/>
      <c r="AF34" s="82"/>
      <c r="AG34" s="82"/>
      <c r="AH34" s="82"/>
      <c r="AI34" s="82"/>
      <c r="AJ34" s="82"/>
      <c r="AK34" s="82"/>
      <c r="AL34" s="82"/>
      <c r="AM34" s="82"/>
      <c r="AN34" s="82"/>
      <c r="AO34" s="82"/>
      <c r="AP34" s="82"/>
      <c r="AQ34" s="82"/>
      <c r="AS34" s="82"/>
      <c r="AT34" s="82"/>
      <c r="AU34" s="82"/>
      <c r="AV34" s="82"/>
      <c r="AW34" s="82"/>
      <c r="AX34" s="82"/>
      <c r="AY34" s="82"/>
      <c r="AZ34" s="82"/>
    </row>
    <row r="35" spans="2:52" ht="15.95" customHeight="1">
      <c r="B35" s="44"/>
      <c r="C35" s="40"/>
      <c r="D35" s="149"/>
      <c r="E35" s="437" t="str">
        <f>'Stage 2'!F29</f>
        <v>Cereals</v>
      </c>
      <c r="F35" s="437"/>
      <c r="G35" s="437"/>
      <c r="H35" s="437"/>
      <c r="I35" s="437"/>
      <c r="J35" s="103"/>
      <c r="K35" s="225" t="str">
        <f>IF('Stage 2'!$K29&gt;0,SUM('Stage 2'!$O29,'Stage 2'!$P29,'Stage 2'!$Q29)/'Stage 2'!$K29,"")</f>
        <v/>
      </c>
      <c r="L35" s="310"/>
      <c r="M35" s="152"/>
      <c r="N35" s="160" t="s">
        <v>175</v>
      </c>
      <c r="O35" s="161" t="s">
        <v>298</v>
      </c>
      <c r="P35" s="179"/>
      <c r="Q35" s="47"/>
      <c r="R35" s="47"/>
      <c r="S35" s="437" t="str">
        <f t="shared" si="0"/>
        <v>Cereals</v>
      </c>
      <c r="T35" s="437"/>
      <c r="U35" s="437"/>
      <c r="V35" s="437"/>
      <c r="W35" s="437"/>
      <c r="X35" s="160" t="s">
        <v>175</v>
      </c>
      <c r="Y35" s="202" t="str">
        <f>IF($X$15="Yes",IF($X35="Yes",IF($X$20="Tone",((IF($X$21="Freely draining",IF($X$22="650-675",IF($X$23="Yes",'Data Tables'!O11,'Data Tables'!P11),IF($X$22="675-700",IF($X$23="Yes",'Data Tables'!O11,'Data Tables'!P11),IF($X$22="700-750",IF($X$23="Yes",'Data Tables'!U11,'Data Tables'!V11),IF($X$22="750-800",IF($X$23="Yes",'Data Tables'!U11,'Data Tables'!V11),IF($X$22="800-850",IF($X$23="Yes",'Data Tables'!U11,'Data Tables'!V11),IF($X$22="850-900",IF($X$23="Yes",'Data Tables'!U11,'Data Tables'!V11),IF($X$22="900-950",IF($X$23="Yes",'Data Tables'!AA11,'Data Tables'!AB11),IF($X$22="950-1000",IF($X$23="Yes",'Data Tables'!AA11,'Data Tables'!AB11),IF($X$22="1000-1100",IF($X$23="Yes",'Data Tables'!AA11,'Data Tables'!AB11),IF($X$22="1100-1200",IF($X$23="Yes",'Data Tables'!AA11,'Data Tables'!AB11),IF($X$23="Yes",'Data Tables'!AG11,'Data Tables'!AH11))))))))))),IF($X$21="Impermeable - drained for arable",IF($X$22="650-675",IF($X$23="Yes",'Data Tables'!Q11,'Data Tables'!R11),IF($X$22="675-700",IF($X$23="Yes",'Data Tables'!Q11,'Data Tables'!R11),IF($X$22="700-750",IF($X$23="Yes",'Data Tables'!W11,'Data Tables'!X11),IF($X$22="750-800",IF($X$23="Yes",'Data Tables'!W11,'Data Tables'!X11),IF($X$22="800-850",IF($X$23="Yes",'Data Tables'!W11,'Data Tables'!X11),IF($X$22="850-900",IF($X$23="Yes",'Data Tables'!W11,'Data Tables'!X11),IF($X$22="900-950",IF($X$23="Yes",'Data Tables'!AC11,'Data Tables'!AD11),IF($X$22="950-1000",IF($X$23="Yes",'Data Tables'!AC11,'Data Tables'!AD11),IF($X$22="1000-1100",IF($X$23="Yes",'Data Tables'!AC11,'Data Tables'!AD11),IF($X$22="1100-1200",IF($X$23="Yes",'Data Tables'!AC11,'Data Tables'!AD11),IF($X$23="Yes",'Data Tables'!AI11,'Data Tables'!AJ11))))))))))),IF($X$22="650-675",IF($X$23="Yes",'Data Tables'!S11,'Data Tables'!T11),IF($X$22="675-700",IF($X$23="Yes",'Data Tables'!S11,'Data Tables'!T11),IF($X$22="700-750",IF($X$23="Yes",'Data Tables'!Y11,'Data Tables'!Z11),IF($X$22="750-800",IF($X$23="Yes",'Data Tables'!Y11,'Data Tables'!Z11),IF($X$22="800-850",IF($X$23="Yes",'Data Tables'!Y11,'Data Tables'!Z11),IF($X$22="850-900",IF($X$23="Yes",'Data Tables'!Y11,'Data Tables'!Z11),IF($X$22="900-950",IF($X$23="Yes",'Data Tables'!AE11,'Data Tables'!AF11),IF($X$22="950-1000",IF($X$23="Yes",'Data Tables'!AE11,'Data Tables'!AF11),IF($X$22="1000-1100",IF($X$23="Yes",'Data Tables'!AE11,'Data Tables'!AF11),IF($X$22="1100-1200",IF($X$23="Yes",'Data Tables'!AE11,'Data Tables'!AF11),IF($X$23="Yes",'Data Tables'!AK11,'Data Tables'!AL11))))))))))))))),""),""),"")</f>
        <v/>
      </c>
      <c r="Z35" s="202" t="str">
        <f>IF($X$15="Yes",IF($X35="Yes",IF($X$20="Parrett",((IF($X$21="Freely draining",IF($X$22="650-675",IF($X$23="Yes",'Data Tables'!O23,'Data Tables'!P23),IF($X$22="675-700",IF($X$23="Yes",'Data Tables'!O23,'Data Tables'!P23),IF($X$22="700-750",IF($X$23="Yes",'Data Tables'!U23,'Data Tables'!V23),IF($X$22="750-800",IF($X$23="Yes",'Data Tables'!U23,'Data Tables'!V23),IF($X$22="800-850",IF($X$23="Yes",'Data Tables'!U23,'Data Tables'!V23),IF($X$22="850-900",IF($X$23="Yes",'Data Tables'!U23,'Data Tables'!V23),IF($X$22="900-950",IF($X$23="Yes",'Data Tables'!AA23,'Data Tables'!AB23),IF($X$22="950-1000",IF($X$23="Yes",'Data Tables'!AA23,'Data Tables'!AB23),IF($X$22="1000-1100",IF($X$23="Yes",'Data Tables'!AA23,'Data Tables'!AB23),IF($X$22="1100-1200",IF($X$23="Yes",'Data Tables'!AA23,'Data Tables'!AB23),IF($X$23="Yes",'Data Tables'!AG23,'Data Tables'!AH23))))))))))),IF($X$21="Impermeable - drained for arable",IF($X$22="650-675",IF($X$23="Yes",'Data Tables'!Q23,'Data Tables'!R23),IF($X$22="675-700",IF($X$23="Yes",'Data Tables'!Q23,'Data Tables'!R23),IF($X$22="700-750",IF($X$23="Yes",'Data Tables'!W23,'Data Tables'!X23),IF($X$22="750-800",IF($X$23="Yes",'Data Tables'!W23,'Data Tables'!X23),IF($X$22="800-850",IF($X$23="Yes",'Data Tables'!W23,'Data Tables'!X23),IF($X$22="850-900",IF($X$23="Yes",'Data Tables'!W23,'Data Tables'!X23),IF($X$22="900-950",IF($X$23="Yes",'Data Tables'!AC23,'Data Tables'!AD23),IF($X$22="950-1000",IF($X$23="Yes",'Data Tables'!AC23,'Data Tables'!AD23),IF($X$22="1000-1100",IF($X$23="Yes",'Data Tables'!AC23,'Data Tables'!AD23),IF($X$22="1100-1200",IF($X$23="Yes",'Data Tables'!AC23,'Data Tables'!AD23),IF($X$23="Yes",'Data Tables'!AI23,'Data Tables'!AJ23))))))))))),IF($X$22="650-675",IF($X$23="Yes",'Data Tables'!S23,'Data Tables'!T23),IF($X$22="675-700",IF($X$23="Yes",'Data Tables'!S23,'Data Tables'!T23),IF($X$22="700-750",IF($X$23="Yes",'Data Tables'!Y23,'Data Tables'!Z23),IF($X$22="750-800",IF($X$23="Yes",'Data Tables'!Y23,'Data Tables'!Z23),IF($X$22="800-850",IF($X$23="Yes",'Data Tables'!Y23,'Data Tables'!Z23),IF($X$22="850-900",IF($X$23="Yes",'Data Tables'!Y23,'Data Tables'!Z23),IF($X$22="900-950",IF($X$23="Yes",'Data Tables'!AE23,'Data Tables'!AF23),IF($X$22="950-1000",IF($X$23="Yes",'Data Tables'!AE23,'Data Tables'!AF23),IF($X$22="1000-1100",IF($X$23="Yes",'Data Tables'!AE23,'Data Tables'!AF23),IF($X$22="1100-1200",IF($X$23="Yes",'Data Tables'!AE23,'Data Tables'!AF23),IF($X$23="Yes",'Data Tables'!AK23,'Data Tables'!AL23))))))))))))))),""),""),"")</f>
        <v/>
      </c>
      <c r="AA35" s="202" t="str">
        <f>IF($X$15="Yes",IF($X35="Yes",IF($X$20="Brue &amp; Axe",IF($X$21="Freely draining",IF($X$22="650-675",IF($X$23="Yes",'Data Tables'!O35,'Data Tables'!P35),IF($X$22="675-700",IF($X$23="Yes",'Data Tables'!O35,'Data Tables'!P35),IF($X$22="700-750",IF($X$23="Yes",'Data Tables'!U35,'Data Tables'!V35),IF($X$22="750-800",IF($X$23="Yes",'Data Tables'!U35,'Data Tables'!V35),IF($X$22="800-850",IF($X$23="Yes",'Data Tables'!U35,'Data Tables'!V35),IF($X$22="850-900",IF($X$23="Yes",'Data Tables'!U35,'Data Tables'!V35),IF($X$22="900-950",IF($X$23="Yes",'Data Tables'!AA35,'Data Tables'!AB35),IF($X$22="950-1000",IF($X$23="Yes",'Data Tables'!AA35,'Data Tables'!AB35),IF($X$22="1000-1100",IF($X$23="Yes",'Data Tables'!AA35,'Data Tables'!AB35),IF($X$22="1100-1200",IF($X$23="Yes",'Data Tables'!AA35,'Data Tables'!AB35),IF($X$23="Yes",'Data Tables'!AG35,'Data Tables'!AH35))))))))))),IF($X$21="Impermeable - drained for arable",IF($X$22="650-675",IF($X$23="Yes",'Data Tables'!Q35,'Data Tables'!R35),IF($X$22="675-700",IF($X$23="Yes",'Data Tables'!Q35,'Data Tables'!R35),IF($X$22="700-750",IF($X$23="Yes",'Data Tables'!W35,'Data Tables'!X35),IF($X$22="750-800",IF($X$23="Yes",'Data Tables'!W35,'Data Tables'!X35),IF($X$22="800-850",IF($X$23="Yes",'Data Tables'!W35,'Data Tables'!X35),IF($X$22="850-900",IF($X$23="Yes",'Data Tables'!W35,'Data Tables'!X35),IF($X$22="900-950",IF($X$23="Yes",'Data Tables'!AC35,'Data Tables'!AD35),IF($X$22="950-1000",IF($X$23="Yes",'Data Tables'!AC35,'Data Tables'!AD35),IF($X$22="1000-1100",IF($X$23="Yes",'Data Tables'!AC35,'Data Tables'!AD35),IF($X$22="1100-1200",IF($X$23="Yes",'Data Tables'!AC35,'Data Tables'!AD35),IF($X$23="Yes",'Data Tables'!AI35,'Data Tables'!AJ35))))))))))),IF($X$22="650-675",IF($X$23="Yes",'Data Tables'!S35,'Data Tables'!T35),IF($X$22="675-700",IF($X$23="Yes",'Data Tables'!S35,'Data Tables'!T35),IF($X$22="700-750",IF($X$23="Yes",'Data Tables'!Y35,'Data Tables'!Z35),IF($X$22="750-800",IF($X$23="Yes",'Data Tables'!Y35,'Data Tables'!Z35),IF($X$22="800-850",IF($X$23="Yes",'Data Tables'!Y35,'Data Tables'!Z35),IF($X$22="850-900",IF($X$23="Yes",'Data Tables'!Y35,'Data Tables'!Z35),IF($X$22="900-950",IF($X$23="Yes",'Data Tables'!AE35,'Data Tables'!AF35),IF($X$22="950-1000",IF($X$23="Yes",'Data Tables'!AE35,'Data Tables'!AF35),IF($X$22="1000-1100",IF($X$23="Yes",'Data Tables'!AE35,'Data Tables'!AF35),IF($X$22="1100-1200",IF($X$23="Yes",'Data Tables'!AE35,'Data Tables'!AF35),IF($X$23="Yes",'Data Tables'!AK35,'Data Tables'!AL35))))))))))))),""),""),"")</f>
        <v/>
      </c>
      <c r="AB35" s="223"/>
      <c r="AE35" s="82"/>
      <c r="AF35" s="82"/>
      <c r="AG35" s="82"/>
      <c r="AH35" s="82"/>
      <c r="AI35" s="82"/>
      <c r="AJ35" s="82"/>
      <c r="AK35" s="82"/>
      <c r="AL35" s="82"/>
      <c r="AM35" s="82"/>
      <c r="AN35" s="82"/>
      <c r="AO35" s="82"/>
      <c r="AP35" s="82"/>
      <c r="AQ35" s="82"/>
      <c r="AS35" s="82"/>
      <c r="AT35" s="82"/>
      <c r="AU35" s="82"/>
      <c r="AV35" s="82"/>
      <c r="AW35" s="82"/>
      <c r="AX35" s="82"/>
      <c r="AY35" s="82"/>
      <c r="AZ35" s="82"/>
    </row>
    <row r="36" spans="2:52" ht="15.95" customHeight="1">
      <c r="B36" s="44"/>
      <c r="C36" s="40"/>
      <c r="D36" s="149"/>
      <c r="E36" s="437" t="str">
        <f>'Stage 2'!F30</f>
        <v>General arable</v>
      </c>
      <c r="F36" s="437"/>
      <c r="G36" s="437"/>
      <c r="H36" s="437"/>
      <c r="I36" s="437"/>
      <c r="J36" s="103"/>
      <c r="K36" s="225" t="str">
        <f>IF('Stage 2'!$K30&gt;0,SUM('Stage 2'!$O30,'Stage 2'!$P30,'Stage 2'!$Q30)/'Stage 2'!$K30,"")</f>
        <v/>
      </c>
      <c r="L36" s="310"/>
      <c r="M36" s="152"/>
      <c r="N36" s="160" t="s">
        <v>175</v>
      </c>
      <c r="O36" s="161" t="s">
        <v>298</v>
      </c>
      <c r="P36" s="179"/>
      <c r="Q36" s="47"/>
      <c r="R36" s="47"/>
      <c r="S36" s="437" t="str">
        <f t="shared" si="0"/>
        <v>General arable</v>
      </c>
      <c r="T36" s="437"/>
      <c r="U36" s="437"/>
      <c r="V36" s="437"/>
      <c r="W36" s="437"/>
      <c r="X36" s="160" t="s">
        <v>175</v>
      </c>
      <c r="Y36" s="202" t="str">
        <f>IF($X$15="Yes",IF($X36="Yes",IF($X$20="Tone",((IF($X$21="Freely draining",IF($X$22="650-675",IF($X$23="Yes",'Data Tables'!O12,'Data Tables'!P12),IF($X$22="675-700",IF($X$23="Yes",'Data Tables'!O12,'Data Tables'!P12),IF($X$22="700-750",IF($X$23="Yes",'Data Tables'!U12,'Data Tables'!V12),IF($X$22="750-800",IF($X$23="Yes",'Data Tables'!U12,'Data Tables'!V12),IF($X$22="800-850",IF($X$23="Yes",'Data Tables'!U12,'Data Tables'!V12),IF($X$22="850-900",IF($X$23="Yes",'Data Tables'!U12,'Data Tables'!V12),IF($X$22="900-950",IF($X$23="Yes",'Data Tables'!AA12,'Data Tables'!AB12),IF($X$22="950-1000",IF($X$23="Yes",'Data Tables'!AA12,'Data Tables'!AB12),IF($X$22="1000-1100",IF($X$23="Yes",'Data Tables'!AA12,'Data Tables'!AB12),IF($X$22="1100-1200",IF($X$23="Yes",'Data Tables'!AA12,'Data Tables'!AB12),IF($X$23="Yes",'Data Tables'!AG12,'Data Tables'!AH12))))))))))),IF($X$21="Impermeable - drained for arable",IF($X$22="650-675",IF($X$23="Yes",'Data Tables'!Q12,'Data Tables'!R12),IF($X$22="675-700",IF($X$23="Yes",'Data Tables'!Q12,'Data Tables'!R12),IF($X$22="700-750",IF($X$23="Yes",'Data Tables'!W12,'Data Tables'!X12),IF($X$22="750-800",IF($X$23="Yes",'Data Tables'!W12,'Data Tables'!X12),IF($X$22="800-850",IF($X$23="Yes",'Data Tables'!W12,'Data Tables'!X12),IF($X$22="850-900",IF($X$23="Yes",'Data Tables'!W12,'Data Tables'!X12),IF($X$22="900-950",IF($X$23="Yes",'Data Tables'!AC12,'Data Tables'!AD12),IF($X$22="950-1000",IF($X$23="Yes",'Data Tables'!AC12,'Data Tables'!AD12),IF($X$22="1000-1100",IF($X$23="Yes",'Data Tables'!AC12,'Data Tables'!AD12),IF($X$22="1100-1200",IF($X$23="Yes",'Data Tables'!AC12,'Data Tables'!AD12),IF($X$23="Yes",'Data Tables'!AI12,'Data Tables'!AJ12))))))))))),IF($X$22="650-675",IF($X$23="Yes",'Data Tables'!S12,'Data Tables'!T12),IF($X$22="675-700",IF($X$23="Yes",'Data Tables'!S12,'Data Tables'!T12),IF($X$22="700-750",IF($X$23="Yes",'Data Tables'!Y12,'Data Tables'!Z12),IF($X$22="750-800",IF($X$23="Yes",'Data Tables'!Y12,'Data Tables'!Z12),IF($X$22="800-850",IF($X$23="Yes",'Data Tables'!Y12,'Data Tables'!Z12),IF($X$22="850-900",IF($X$23="Yes",'Data Tables'!Y12,'Data Tables'!Z12),IF($X$22="900-950",IF($X$23="Yes",'Data Tables'!AE12,'Data Tables'!AF12),IF($X$22="950-1000",IF($X$23="Yes",'Data Tables'!AE12,'Data Tables'!AF12),IF($X$22="1000-1100",IF($X$23="Yes",'Data Tables'!AE12,'Data Tables'!AF12),IF($X$22="1100-1200",IF($X$23="Yes",'Data Tables'!AE12,'Data Tables'!AF12),IF($X$23="Yes",'Data Tables'!AK12,'Data Tables'!AL12))))))))))))))),""),""),"")</f>
        <v/>
      </c>
      <c r="Z36" s="202" t="str">
        <f>IF($X$15="Yes",IF($X36="Yes",IF($X$20="Parrett",((IF($X$21="Freely draining",IF($X$22="650-675",IF($X$23="Yes",'Data Tables'!O24,'Data Tables'!P24),IF($X$22="675-700",IF($X$23="Yes",'Data Tables'!O24,'Data Tables'!P24),IF($X$22="700-750",IF($X$23="Yes",'Data Tables'!U24,'Data Tables'!V24),IF($X$22="750-800",IF($X$23="Yes",'Data Tables'!U24,'Data Tables'!V24),IF($X$22="800-850",IF($X$23="Yes",'Data Tables'!U24,'Data Tables'!V24),IF($X$22="850-900",IF($X$23="Yes",'Data Tables'!U24,'Data Tables'!V24),IF($X$22="900-950",IF($X$23="Yes",'Data Tables'!AA24,'Data Tables'!AB24),IF($X$22="950-1000",IF($X$23="Yes",'Data Tables'!AA24,'Data Tables'!AB24),IF($X$22="1000-1100",IF($X$23="Yes",'Data Tables'!AA24,'Data Tables'!AB24),IF($X$22="1100-1200",IF($X$23="Yes",'Data Tables'!AA24,'Data Tables'!AB24),IF($X$23="Yes",'Data Tables'!AG24,'Data Tables'!AH24))))))))))),IF($X$21="Impermeable - drained for arable",IF($X$22="650-675",IF($X$23="Yes",'Data Tables'!Q24,'Data Tables'!R24),IF($X$22="675-700",IF($X$23="Yes",'Data Tables'!Q24,'Data Tables'!R24),IF($X$22="700-750",IF($X$23="Yes",'Data Tables'!W24,'Data Tables'!X24),IF($X$22="750-800",IF($X$23="Yes",'Data Tables'!W24,'Data Tables'!X24),IF($X$22="800-850",IF($X$23="Yes",'Data Tables'!W24,'Data Tables'!X24),IF($X$22="850-900",IF($X$23="Yes",'Data Tables'!W24,'Data Tables'!X24),IF($X$22="900-950",IF($X$23="Yes",'Data Tables'!AC24,'Data Tables'!AD24),IF($X$22="950-1000",IF($X$23="Yes",'Data Tables'!AC24,'Data Tables'!AD24),IF($X$22="1000-1100",IF($X$23="Yes",'Data Tables'!AC24,'Data Tables'!AD24),IF($X$22="1100-1200",IF($X$23="Yes",'Data Tables'!AC24,'Data Tables'!AD24),IF($X$23="Yes",'Data Tables'!AI24,'Data Tables'!AJ24))))))))))),IF($X$22="650-675",IF($X$23="Yes",'Data Tables'!S24,'Data Tables'!T24),IF($X$22="675-700",IF($X$23="Yes",'Data Tables'!S24,'Data Tables'!T24),IF($X$22="700-750",IF($X$23="Yes",'Data Tables'!Y24,'Data Tables'!Z24),IF($X$22="750-800",IF($X$23="Yes",'Data Tables'!Y24,'Data Tables'!Z24),IF($X$22="800-850",IF($X$23="Yes",'Data Tables'!Y24,'Data Tables'!Z24),IF($X$22="850-900",IF($X$23="Yes",'Data Tables'!Y24,'Data Tables'!Z24),IF($X$22="900-950",IF($X$23="Yes",'Data Tables'!AE24,'Data Tables'!AF24),IF($X$22="950-1000",IF($X$23="Yes",'Data Tables'!AE24,'Data Tables'!AF24),IF($X$22="1000-1100",IF($X$23="Yes",'Data Tables'!AE24,'Data Tables'!AF24),IF($X$22="1100-1200",IF($X$23="Yes",'Data Tables'!AE24,'Data Tables'!AF24),IF($X$23="Yes",'Data Tables'!AK24,'Data Tables'!AL24))))))))))))))),""),""),"")</f>
        <v/>
      </c>
      <c r="AA36" s="202" t="str">
        <f>IF($X$15="Yes",IF($X36="Yes",IF($X$20="Brue &amp; Axe",IF($X$21="Freely draining",IF($X$22="650-675",IF($X$23="Yes",'Data Tables'!O36,'Data Tables'!P36),IF($X$22="675-700",IF($X$23="Yes",'Data Tables'!O36,'Data Tables'!P36),IF($X$22="700-750",IF($X$23="Yes",'Data Tables'!U36,'Data Tables'!V36),IF($X$22="750-800",IF($X$23="Yes",'Data Tables'!U36,'Data Tables'!V36),IF($X$22="800-850",IF($X$23="Yes",'Data Tables'!U36,'Data Tables'!V36),IF($X$22="850-900",IF($X$23="Yes",'Data Tables'!U36,'Data Tables'!V36),IF($X$22="900-950",IF($X$23="Yes",'Data Tables'!AA36,'Data Tables'!AB36),IF($X$22="950-1000",IF($X$23="Yes",'Data Tables'!AA36,'Data Tables'!AB36),IF($X$22="1000-1100",IF($X$23="Yes",'Data Tables'!AA36,'Data Tables'!AB36),IF($X$22="1100-1200",IF($X$23="Yes",'Data Tables'!AA36,'Data Tables'!AB36),IF($X$23="Yes",'Data Tables'!AG36,'Data Tables'!AH36))))))))))),IF($X$21="Impermeable - drained for arable",IF($X$22="650-675",IF($X$23="Yes",'Data Tables'!Q36,'Data Tables'!R36),IF($X$22="675-700",IF($X$23="Yes",'Data Tables'!Q36,'Data Tables'!R36),IF($X$22="700-750",IF($X$23="Yes",'Data Tables'!W36,'Data Tables'!X36),IF($X$22="750-800",IF($X$23="Yes",'Data Tables'!W36,'Data Tables'!X36),IF($X$22="800-850",IF($X$23="Yes",'Data Tables'!W36,'Data Tables'!X36),IF($X$22="850-900",IF($X$23="Yes",'Data Tables'!W36,'Data Tables'!X36),IF($X$22="900-950",IF($X$23="Yes",'Data Tables'!AC36,'Data Tables'!AD36),IF($X$22="950-1000",IF($X$23="Yes",'Data Tables'!AC36,'Data Tables'!AD36),IF($X$22="1000-1100",IF($X$23="Yes",'Data Tables'!AC36,'Data Tables'!AD36),IF($X$22="1100-1200",IF($X$23="Yes",'Data Tables'!AC36,'Data Tables'!AD36),IF($X$23="Yes",'Data Tables'!AI36,'Data Tables'!AJ36))))))))))),IF($X$22="650-675",IF($X$23="Yes",'Data Tables'!S36,'Data Tables'!T36),IF($X$22="675-700",IF($X$23="Yes",'Data Tables'!S36,'Data Tables'!T36),IF($X$22="700-750",IF($X$23="Yes",'Data Tables'!Y36,'Data Tables'!Z36),IF($X$22="750-800",IF($X$23="Yes",'Data Tables'!Y36,'Data Tables'!Z36),IF($X$22="800-850",IF($X$23="Yes",'Data Tables'!Y36,'Data Tables'!Z36),IF($X$22="850-900",IF($X$23="Yes",'Data Tables'!Y36,'Data Tables'!Z36),IF($X$22="900-950",IF($X$23="Yes",'Data Tables'!AE36,'Data Tables'!AF36),IF($X$22="950-1000",IF($X$23="Yes",'Data Tables'!AE36,'Data Tables'!AF36),IF($X$22="1000-1100",IF($X$23="Yes",'Data Tables'!AE36,'Data Tables'!AF36),IF($X$22="1100-1200",IF($X$23="Yes",'Data Tables'!AE36,'Data Tables'!AF36),IF($X$23="Yes",'Data Tables'!AK36,'Data Tables'!AL36))))))))))))),""),""),"")</f>
        <v/>
      </c>
      <c r="AB36" s="223"/>
      <c r="AE36" s="82"/>
      <c r="AF36" s="82"/>
      <c r="AG36" s="82"/>
      <c r="AH36" s="82"/>
      <c r="AI36" s="82"/>
      <c r="AJ36" s="82"/>
      <c r="AK36" s="82"/>
      <c r="AL36" s="82"/>
      <c r="AM36" s="82"/>
      <c r="AN36" s="82"/>
      <c r="AO36" s="82"/>
      <c r="AP36" s="82"/>
      <c r="AQ36" s="82"/>
      <c r="AS36" s="82"/>
      <c r="AT36" s="82"/>
      <c r="AU36" s="82"/>
      <c r="AV36" s="82"/>
      <c r="AW36" s="82"/>
      <c r="AX36" s="82"/>
      <c r="AY36" s="82"/>
      <c r="AZ36" s="82"/>
    </row>
    <row r="37" spans="2:52" ht="15.95" customHeight="1">
      <c r="B37" s="44"/>
      <c r="C37" s="40"/>
      <c r="D37" s="149"/>
      <c r="E37" s="437" t="str">
        <f>'Stage 2'!F31</f>
        <v>Allotments and city farms</v>
      </c>
      <c r="F37" s="437"/>
      <c r="G37" s="437"/>
      <c r="H37" s="437"/>
      <c r="I37" s="437"/>
      <c r="J37" s="103"/>
      <c r="K37" s="225" t="str">
        <f>IF('Stage 2'!$K31&gt;0,SUM('Stage 2'!$O31,'Stage 2'!$P31,'Stage 2'!$Q31)/'Stage 2'!$K31,"")</f>
        <v/>
      </c>
      <c r="L37" s="310"/>
      <c r="M37" s="188"/>
      <c r="N37" s="160" t="s">
        <v>175</v>
      </c>
      <c r="O37" s="161" t="s">
        <v>298</v>
      </c>
      <c r="P37" s="179"/>
      <c r="Q37" s="47"/>
      <c r="R37" s="47"/>
      <c r="S37" s="437" t="str">
        <f t="shared" si="0"/>
        <v>Allotments and city farms</v>
      </c>
      <c r="T37" s="437"/>
      <c r="U37" s="437"/>
      <c r="V37" s="437"/>
      <c r="W37" s="437"/>
      <c r="X37" s="160" t="s">
        <v>175</v>
      </c>
      <c r="Y37" s="202" t="str">
        <f>IF($X$15="Yes",IF($X37="Yes",IF($X$20="Tone",((IF($X$21="Freely draining",IF($X$22="650-675",IF($X$23="Yes",'Data Tables'!O13,'Data Tables'!P13),IF($X$22="675-700",IF($X$23="Yes",'Data Tables'!O13,'Data Tables'!P13),IF($X$22="700-750",IF($X$23="Yes",'Data Tables'!U13,'Data Tables'!V13),IF($X$22="750-800",IF($X$23="Yes",'Data Tables'!U13,'Data Tables'!V13),IF($X$22="800-850",IF($X$23="Yes",'Data Tables'!U13,'Data Tables'!V13),IF($X$22="850-900",IF($X$23="Yes",'Data Tables'!U13,'Data Tables'!V13),IF($X$22="900-950",IF($X$23="Yes",'Data Tables'!AA13,'Data Tables'!AB13),IF($X$22="950-1000",IF($X$23="Yes",'Data Tables'!AA13,'Data Tables'!AB13),IF($X$22="1000-1100",IF($X$23="Yes",'Data Tables'!AA13,'Data Tables'!AB13),IF($X$22="1100-1200",IF($X$23="Yes",'Data Tables'!AA13,'Data Tables'!AB13),IF($X$23="Yes",'Data Tables'!AG13,'Data Tables'!AH13))))))))))),IF($X$21="Impermeable - drained for arable",IF($X$22="650-675",IF($X$23="Yes",'Data Tables'!Q13,'Data Tables'!R13),IF($X$22="675-700",IF($X$23="Yes",'Data Tables'!Q13,'Data Tables'!R13),IF($X$22="700-750",IF($X$23="Yes",'Data Tables'!W13,'Data Tables'!X13),IF($X$22="750-800",IF($X$23="Yes",'Data Tables'!W13,'Data Tables'!X13),IF($X$22="800-850",IF($X$23="Yes",'Data Tables'!W13,'Data Tables'!X13),IF($X$22="850-900",IF($X$23="Yes",'Data Tables'!W13,'Data Tables'!X13),IF($X$22="900-950",IF($X$23="Yes",'Data Tables'!AC13,'Data Tables'!AD13),IF($X$22="950-1000",IF($X$23="Yes",'Data Tables'!AC13,'Data Tables'!AD13),IF($X$22="1000-1100",IF($X$23="Yes",'Data Tables'!AC13,'Data Tables'!AD13),IF($X$22="1100-1200",IF($X$23="Yes",'Data Tables'!AC13,'Data Tables'!AD13),IF($X$23="Yes",'Data Tables'!AI13,'Data Tables'!AJ13))))))))))),IF($X$22="650-675",IF($X$23="Yes",'Data Tables'!S13,'Data Tables'!T13),IF($X$22="675-700",IF($X$23="Yes",'Data Tables'!S13,'Data Tables'!T13),IF($X$22="700-750",IF($X$23="Yes",'Data Tables'!Y13,'Data Tables'!Z13),IF($X$22="750-800",IF($X$23="Yes",'Data Tables'!Y13,'Data Tables'!Z13),IF($X$22="800-850",IF($X$23="Yes",'Data Tables'!Y13,'Data Tables'!Z13),IF($X$22="850-900",IF($X$23="Yes",'Data Tables'!Y13,'Data Tables'!Z13),IF($X$22="900-950",IF($X$23="Yes",'Data Tables'!AE13,'Data Tables'!AF13),IF($X$22="950-1000",IF($X$23="Yes",'Data Tables'!AE13,'Data Tables'!AF13),IF($X$22="1000-1100",IF($X$23="Yes",'Data Tables'!AE13,'Data Tables'!AF13),IF($X$22="1100-1200",IF($X$23="Yes",'Data Tables'!AE13,'Data Tables'!AF13),IF($X$23="Yes",'Data Tables'!AK13,'Data Tables'!AL13))))))))))))))),""),""),"")</f>
        <v/>
      </c>
      <c r="Z37" s="202" t="str">
        <f>IF($X$15="Yes",IF($X37="Yes",IF($X$20="Parrett",((IF($X$21="Freely draining",IF($X$22="650-675",IF($X$23="Yes",'Data Tables'!O25,'Data Tables'!P25),IF($X$22="675-700",IF($X$23="Yes",'Data Tables'!O25,'Data Tables'!P25),IF($X$22="700-750",IF($X$23="Yes",'Data Tables'!U25,'Data Tables'!V25),IF($X$22="750-800",IF($X$23="Yes",'Data Tables'!U25,'Data Tables'!V25),IF($X$22="800-850",IF($X$23="Yes",'Data Tables'!U25,'Data Tables'!V25),IF($X$22="850-900",IF($X$23="Yes",'Data Tables'!U25,'Data Tables'!V25),IF($X$22="900-950",IF($X$23="Yes",'Data Tables'!AA25,'Data Tables'!AB25),IF($X$22="950-1000",IF($X$23="Yes",'Data Tables'!AA25,'Data Tables'!AB25),IF($X$22="1000-1100",IF($X$23="Yes",'Data Tables'!AA25,'Data Tables'!AB25),IF($X$22="1100-1200",IF($X$23="Yes",'Data Tables'!AA25,'Data Tables'!AB25),IF($X$23="Yes",'Data Tables'!AG25,'Data Tables'!AH25))))))))))),IF($X$21="Impermeable - drained for arable",IF($X$22="650-675",IF($X$23="Yes",'Data Tables'!Q25,'Data Tables'!R25),IF($X$22="675-700",IF($X$23="Yes",'Data Tables'!Q25,'Data Tables'!R25),IF($X$22="700-750",IF($X$23="Yes",'Data Tables'!W25,'Data Tables'!X25),IF($X$22="750-800",IF($X$23="Yes",'Data Tables'!W25,'Data Tables'!X25),IF($X$22="800-850",IF($X$23="Yes",'Data Tables'!W25,'Data Tables'!X25),IF($X$22="850-900",IF($X$23="Yes",'Data Tables'!W25,'Data Tables'!X25),IF($X$22="900-950",IF($X$23="Yes",'Data Tables'!AC25,'Data Tables'!AD25),IF($X$22="950-1000",IF($X$23="Yes",'Data Tables'!AC25,'Data Tables'!AD25),IF($X$22="1000-1100",IF($X$23="Yes",'Data Tables'!AC25,'Data Tables'!AD25),IF($X$22="1100-1200",IF($X$23="Yes",'Data Tables'!AC25,'Data Tables'!AD25),IF($X$23="Yes",'Data Tables'!AI25,'Data Tables'!AJ25))))))))))),IF($X$22="650-675",IF($X$23="Yes",'Data Tables'!S25,'Data Tables'!T25),IF($X$22="675-700",IF($X$23="Yes",'Data Tables'!S25,'Data Tables'!T25),IF($X$22="700-750",IF($X$23="Yes",'Data Tables'!Y25,'Data Tables'!Z25),IF($X$22="750-800",IF($X$23="Yes",'Data Tables'!Y25,'Data Tables'!Z25),IF($X$22="800-850",IF($X$23="Yes",'Data Tables'!Y25,'Data Tables'!Z25),IF($X$22="850-900",IF($X$23="Yes",'Data Tables'!Y25,'Data Tables'!Z25),IF($X$22="900-950",IF($X$23="Yes",'Data Tables'!AE25,'Data Tables'!AF25),IF($X$22="950-1000",IF($X$23="Yes",'Data Tables'!AE25,'Data Tables'!AF25),IF($X$22="1000-1100",IF($X$23="Yes",'Data Tables'!AE25,'Data Tables'!AF25),IF($X$22="1100-1200",IF($X$23="Yes",'Data Tables'!AE25,'Data Tables'!AF25),IF($X$23="Yes",'Data Tables'!AK25,'Data Tables'!AL25))))))))))))))),""),""),"")</f>
        <v/>
      </c>
      <c r="AA37" s="202" t="str">
        <f>IF($X$15="Yes",IF($X37="Yes",IF($X$20="Brue &amp; Axe",IF($X$21="Freely draining",IF($X$22="650-675",IF($X$23="Yes",'Data Tables'!O37,'Data Tables'!P37),IF($X$22="675-700",IF($X$23="Yes",'Data Tables'!O37,'Data Tables'!P37),IF($X$22="700-750",IF($X$23="Yes",'Data Tables'!U37,'Data Tables'!V37),IF($X$22="750-800",IF($X$23="Yes",'Data Tables'!U37,'Data Tables'!V37),IF($X$22="800-850",IF($X$23="Yes",'Data Tables'!U37,'Data Tables'!V37),IF($X$22="850-900",IF($X$23="Yes",'Data Tables'!U37,'Data Tables'!V37),IF($X$22="900-950",IF($X$23="Yes",'Data Tables'!AA37,'Data Tables'!AB37),IF($X$22="950-1000",IF($X$23="Yes",'Data Tables'!AA37,'Data Tables'!AB37),IF($X$22="1000-1100",IF($X$23="Yes",'Data Tables'!AA37,'Data Tables'!AB37),IF($X$22="1100-1200",IF($X$23="Yes",'Data Tables'!AA37,'Data Tables'!AB37),IF($X$23="Yes",'Data Tables'!AG37,'Data Tables'!AH37))))))))))),IF($X$21="Impermeable - drained for arable",IF($X$22="650-675",IF($X$23="Yes",'Data Tables'!Q37,'Data Tables'!R37),IF($X$22="675-700",IF($X$23="Yes",'Data Tables'!Q37,'Data Tables'!R37),IF($X$22="700-750",IF($X$23="Yes",'Data Tables'!W37,'Data Tables'!X37),IF($X$22="750-800",IF($X$23="Yes",'Data Tables'!W37,'Data Tables'!X37),IF($X$22="800-850",IF($X$23="Yes",'Data Tables'!W37,'Data Tables'!X37),IF($X$22="850-900",IF($X$23="Yes",'Data Tables'!W37,'Data Tables'!X37),IF($X$22="900-950",IF($X$23="Yes",'Data Tables'!AC37,'Data Tables'!AD37),IF($X$22="950-1000",IF($X$23="Yes",'Data Tables'!AC37,'Data Tables'!AD37),IF($X$22="1000-1100",IF($X$23="Yes",'Data Tables'!AC37,'Data Tables'!AD37),IF($X$22="1100-1200",IF($X$23="Yes",'Data Tables'!AC37,'Data Tables'!AD37),IF($X$23="Yes",'Data Tables'!AI37,'Data Tables'!AJ37))))))))))),IF($X$22="650-675",IF($X$23="Yes",'Data Tables'!S37,'Data Tables'!T37),IF($X$22="675-700",IF($X$23="Yes",'Data Tables'!S37,'Data Tables'!T37),IF($X$22="700-750",IF($X$23="Yes",'Data Tables'!Y37,'Data Tables'!Z37),IF($X$22="750-800",IF($X$23="Yes",'Data Tables'!Y37,'Data Tables'!Z37),IF($X$22="800-850",IF($X$23="Yes",'Data Tables'!Y37,'Data Tables'!Z37),IF($X$22="850-900",IF($X$23="Yes",'Data Tables'!Y37,'Data Tables'!Z37),IF($X$22="900-950",IF($X$23="Yes",'Data Tables'!AE37,'Data Tables'!AF37),IF($X$22="950-1000",IF($X$23="Yes",'Data Tables'!AE37,'Data Tables'!AF37),IF($X$22="1000-1100",IF($X$23="Yes",'Data Tables'!AE37,'Data Tables'!AF37),IF($X$22="1100-1200",IF($X$23="Yes",'Data Tables'!AE37,'Data Tables'!AF37),IF($X$23="Yes",'Data Tables'!AK37,'Data Tables'!AL37))))))))))))),""),""),"")</f>
        <v/>
      </c>
      <c r="AB37" s="223"/>
    </row>
    <row r="38" spans="2:52" ht="15.95" customHeight="1">
      <c r="B38" s="44"/>
      <c r="C38" s="40"/>
      <c r="D38" s="149"/>
      <c r="E38" s="437" t="s">
        <v>57</v>
      </c>
      <c r="F38" s="437"/>
      <c r="G38" s="437"/>
      <c r="H38" s="437"/>
      <c r="I38" s="437"/>
      <c r="J38" s="103"/>
      <c r="K38" s="225" t="str">
        <f>IF('Stage 2'!$K32&gt;0,SUM('Stage 2'!$O32,'Stage 2'!$P32,'Stage 2'!$Q32)/'Stage 2'!$K32,"")</f>
        <v/>
      </c>
      <c r="L38" s="310"/>
      <c r="M38" s="188"/>
      <c r="N38" s="160" t="s">
        <v>175</v>
      </c>
      <c r="O38" s="161" t="s">
        <v>298</v>
      </c>
      <c r="P38" s="179"/>
      <c r="Q38" s="47"/>
      <c r="R38" s="47"/>
      <c r="S38" s="437" t="s">
        <v>57</v>
      </c>
      <c r="T38" s="437"/>
      <c r="U38" s="437"/>
      <c r="V38" s="437"/>
      <c r="W38" s="437"/>
      <c r="X38" s="160" t="s">
        <v>175</v>
      </c>
      <c r="Y38" s="202" t="str">
        <f>IF($X$15="Yes",IF($X38="Yes",IF($X$20="Tone",((IF($X$21="Freely draining",IF($X$22="650-675",IF($X$23="Yes",'Data Tables'!O14,'Data Tables'!P14),IF($X$22="675-700",IF($X$23="Yes",'Data Tables'!O14,'Data Tables'!P14),IF($X$22="700-750",IF($X$23="Yes",'Data Tables'!U14,'Data Tables'!V14),IF($X$22="750-800",IF($X$23="Yes",'Data Tables'!U14,'Data Tables'!V14),IF($X$22="800-850",IF($X$23="Yes",'Data Tables'!U14,'Data Tables'!V14),IF($X$22="850-900",IF($X$23="Yes",'Data Tables'!U14,'Data Tables'!V14),IF($X$22="900-950",IF($X$23="Yes",'Data Tables'!AA14,'Data Tables'!AB14),IF($X$22="950-1000",IF($X$23="Yes",'Data Tables'!AA14,'Data Tables'!AB14),IF($X$22="1000-1100",IF($X$23="Yes",'Data Tables'!AA14,'Data Tables'!AB14),IF($X$22="1100-1200",IF($X$23="Yes",'Data Tables'!AA14,'Data Tables'!AB14),IF($X$23="Yes",'Data Tables'!AG14,'Data Tables'!AH14))))))))))),IF($X$21="Impermeable - drained for arable",IF($X$22="650-675",IF($X$23="Yes",'Data Tables'!Q14,'Data Tables'!R14),IF($X$22="675-700",IF($X$23="Yes",'Data Tables'!Q14,'Data Tables'!R14),IF($X$22="700-750",IF($X$23="Yes",'Data Tables'!W14,'Data Tables'!X14),IF($X$22="750-800",IF($X$23="Yes",'Data Tables'!W14,'Data Tables'!X14),IF($X$22="800-850",IF($X$23="Yes",'Data Tables'!W14,'Data Tables'!X14),IF($X$22="850-900",IF($X$23="Yes",'Data Tables'!W14,'Data Tables'!X14),IF($X$22="900-950",IF($X$23="Yes",'Data Tables'!AC14,'Data Tables'!AD14),IF($X$22="950-1000",IF($X$23="Yes",'Data Tables'!AC14,'Data Tables'!AD14),IF($X$22="1000-1100",IF($X$23="Yes",'Data Tables'!AC14,'Data Tables'!AD14),IF($X$22="1100-1200",IF($X$23="Yes",'Data Tables'!AC14,'Data Tables'!AD14),IF($X$23="Yes",'Data Tables'!AI14,'Data Tables'!AJ14))))))))))),IF($X$22="650-675",IF($X$23="Yes",'Data Tables'!S14,'Data Tables'!T14),IF($X$22="675-700",IF($X$23="Yes",'Data Tables'!S14,'Data Tables'!T14),IF($X$22="700-750",IF($X$23="Yes",'Data Tables'!Y14,'Data Tables'!Z14),IF($X$22="750-800",IF($X$23="Yes",'Data Tables'!Y14,'Data Tables'!Z14),IF($X$22="800-850",IF($X$23="Yes",'Data Tables'!Y14,'Data Tables'!Z14),IF($X$22="850-900",IF($X$23="Yes",'Data Tables'!Y14,'Data Tables'!Z14),IF($X$22="900-950",IF($X$23="Yes",'Data Tables'!AE14,'Data Tables'!AF14),IF($X$22="950-1000",IF($X$23="Yes",'Data Tables'!AE14,'Data Tables'!AF14),IF($X$22="1000-1100",IF($X$23="Yes",'Data Tables'!AE14,'Data Tables'!AF14),IF($X$22="1100-1200",IF($X$23="Yes",'Data Tables'!AE14,'Data Tables'!AF14),IF($X$23="Yes",'Data Tables'!AK14,'Data Tables'!AL14))))))))))))))),""),""),"")</f>
        <v/>
      </c>
      <c r="Z38" s="202" t="str">
        <f>IF($X$15="Yes",IF($X38="Yes",IF($X$20="Parrett",((IF($X$21="Freely draining",IF($X$22="650-675",IF($X$23="Yes",'Data Tables'!O26,'Data Tables'!P26),IF($X$22="675-700",IF($X$23="Yes",'Data Tables'!O26,'Data Tables'!P26),IF($X$22="700-750",IF($X$23="Yes",'Data Tables'!U26,'Data Tables'!V26),IF($X$22="750-800",IF($X$23="Yes",'Data Tables'!U26,'Data Tables'!V26),IF($X$22="800-850",IF($X$23="Yes",'Data Tables'!U26,'Data Tables'!V26),IF($X$22="850-900",IF($X$23="Yes",'Data Tables'!U26,'Data Tables'!V26),IF($X$22="900-950",IF($X$23="Yes",'Data Tables'!AA26,'Data Tables'!AB26),IF($X$22="950-1000",IF($X$23="Yes",'Data Tables'!AA26,'Data Tables'!AB26),IF($X$22="1000-1100",IF($X$23="Yes",'Data Tables'!AA26,'Data Tables'!AB26),IF($X$22="1100-1200",IF($X$23="Yes",'Data Tables'!AA26,'Data Tables'!AB26),IF($X$23="Yes",'Data Tables'!AG26,'Data Tables'!AH26))))))))))),IF($X$21="Impermeable - drained for arable",IF($X$22="650-675",IF($X$23="Yes",'Data Tables'!Q26,'Data Tables'!R26),IF($X$22="675-700",IF($X$23="Yes",'Data Tables'!Q26,'Data Tables'!R26),IF($X$22="700-750",IF($X$23="Yes",'Data Tables'!W26,'Data Tables'!X26),IF($X$22="750-800",IF($X$23="Yes",'Data Tables'!W26,'Data Tables'!X26),IF($X$22="800-850",IF($X$23="Yes",'Data Tables'!W26,'Data Tables'!X26),IF($X$22="850-900",IF($X$23="Yes",'Data Tables'!W26,'Data Tables'!X26),IF($X$22="900-950",IF($X$23="Yes",'Data Tables'!AC26,'Data Tables'!AD26),IF($X$22="950-1000",IF($X$23="Yes",'Data Tables'!AC26,'Data Tables'!AD26),IF($X$22="1000-1100",IF($X$23="Yes",'Data Tables'!AC26,'Data Tables'!AD26),IF($X$22="1100-1200",IF($X$23="Yes",'Data Tables'!AC26,'Data Tables'!AD26),IF($X$23="Yes",'Data Tables'!AI26,'Data Tables'!AJ26))))))))))),IF($X$22="650-675",IF($X$23="Yes",'Data Tables'!S26,'Data Tables'!T26),IF($X$22="675-700",IF($X$23="Yes",'Data Tables'!S26,'Data Tables'!T26),IF($X$22="700-750",IF($X$23="Yes",'Data Tables'!Y26,'Data Tables'!Z26),IF($X$22="750-800",IF($X$23="Yes",'Data Tables'!Y26,'Data Tables'!Z26),IF($X$22="800-850",IF($X$23="Yes",'Data Tables'!Y26,'Data Tables'!Z26),IF($X$22="850-900",IF($X$23="Yes",'Data Tables'!Y26,'Data Tables'!Z26),IF($X$22="900-950",IF($X$23="Yes",'Data Tables'!AE26,'Data Tables'!AF26),IF($X$22="950-1000",IF($X$23="Yes",'Data Tables'!AE26,'Data Tables'!AF26),IF($X$22="1000-1100",IF($X$23="Yes",'Data Tables'!AE26,'Data Tables'!AF26),IF($X$22="1100-1200",IF($X$23="Yes",'Data Tables'!AE26,'Data Tables'!AF26),IF($X$23="Yes",'Data Tables'!AK26,'Data Tables'!AL26))))))))))))))),""),""),"")</f>
        <v/>
      </c>
      <c r="AA38" s="202" t="str">
        <f>IF($X$15="Yes",IF($X38="Yes",IF($X$20="Brue &amp; Axe",IF($X$21="Freely draining",IF($X$22="650-675",IF($X$23="Yes",'Data Tables'!O38,'Data Tables'!P38),IF($X$22="675-700",IF($X$23="Yes",'Data Tables'!O38,'Data Tables'!P38),IF($X$22="700-750",IF($X$23="Yes",'Data Tables'!U38,'Data Tables'!V38),IF($X$22="750-800",IF($X$23="Yes",'Data Tables'!U38,'Data Tables'!V38),IF($X$22="800-850",IF($X$23="Yes",'Data Tables'!U38,'Data Tables'!V38),IF($X$22="850-900",IF($X$23="Yes",'Data Tables'!U38,'Data Tables'!V38),IF($X$22="900-950",IF($X$23="Yes",'Data Tables'!AA38,'Data Tables'!AB38),IF($X$22="950-1000",IF($X$23="Yes",'Data Tables'!AA38,'Data Tables'!AB38),IF($X$22="1000-1100",IF($X$23="Yes",'Data Tables'!AA38,'Data Tables'!AB38),IF($X$22="1100-1200",IF($X$23="Yes",'Data Tables'!AA38,'Data Tables'!AB38),IF($X$23="Yes",'Data Tables'!AG38,'Data Tables'!AH38))))))))))),IF($X$21="Impermeable - drained for arable",IF($X$22="650-675",IF($X$23="Yes",'Data Tables'!Q38,'Data Tables'!R38),IF($X$22="675-700",IF($X$23="Yes",'Data Tables'!Q38,'Data Tables'!R38),IF($X$22="700-750",IF($X$23="Yes",'Data Tables'!W38,'Data Tables'!X38),IF($X$22="750-800",IF($X$23="Yes",'Data Tables'!W38,'Data Tables'!X38),IF($X$22="800-850",IF($X$23="Yes",'Data Tables'!W38,'Data Tables'!X38),IF($X$22="850-900",IF($X$23="Yes",'Data Tables'!W38,'Data Tables'!X38),IF($X$22="900-950",IF($X$23="Yes",'Data Tables'!AC38,'Data Tables'!AD38),IF($X$22="950-1000",IF($X$23="Yes",'Data Tables'!AC38,'Data Tables'!AD38),IF($X$22="1000-1100",IF($X$23="Yes",'Data Tables'!AC38,'Data Tables'!AD38),IF($X$22="1100-1200",IF($X$23="Yes",'Data Tables'!AC38,'Data Tables'!AD38),IF($X$23="Yes",'Data Tables'!AI38,'Data Tables'!AJ38))))))))))),IF($X$22="650-675",IF($X$23="Yes",'Data Tables'!S38,'Data Tables'!T38),IF($X$22="675-700",IF($X$23="Yes",'Data Tables'!S38,'Data Tables'!T38),IF($X$22="700-750",IF($X$23="Yes",'Data Tables'!Y38,'Data Tables'!Z38),IF($X$22="750-800",IF($X$23="Yes",'Data Tables'!Y38,'Data Tables'!Z38),IF($X$22="800-850",IF($X$23="Yes",'Data Tables'!Y38,'Data Tables'!Z38),IF($X$22="850-900",IF($X$23="Yes",'Data Tables'!Y38,'Data Tables'!Z38),IF($X$22="900-950",IF($X$23="Yes",'Data Tables'!AE38,'Data Tables'!AF38),IF($X$22="950-1000",IF($X$23="Yes",'Data Tables'!AE38,'Data Tables'!AF38),IF($X$22="1000-1100",IF($X$23="Yes",'Data Tables'!AE38,'Data Tables'!AF38),IF($X$22="1100-1200",IF($X$23="Yes",'Data Tables'!AE38,'Data Tables'!AF38),IF($X$23="Yes",'Data Tables'!AK38,'Data Tables'!AL38))))))))))))),""),""),"")</f>
        <v/>
      </c>
      <c r="AB38" s="223"/>
    </row>
    <row r="39" spans="2:52" ht="15.95" customHeight="1">
      <c r="B39" s="44"/>
      <c r="C39" s="40"/>
      <c r="D39" s="149"/>
      <c r="E39" s="437" t="str">
        <f>'Stage 2'!F33</f>
        <v>Woodland (e.g. broad-leaved, orchard)</v>
      </c>
      <c r="F39" s="437"/>
      <c r="G39" s="437"/>
      <c r="H39" s="437"/>
      <c r="I39" s="437"/>
      <c r="J39" s="103"/>
      <c r="K39" s="203" t="str">
        <f>IF('Stage 2'!K33&gt;0,'Data Tables'!L5,"")</f>
        <v/>
      </c>
      <c r="L39" s="310"/>
      <c r="M39" s="188"/>
      <c r="N39" s="160" t="s">
        <v>175</v>
      </c>
      <c r="O39" s="161" t="s">
        <v>298</v>
      </c>
      <c r="P39" s="179"/>
      <c r="Q39" s="47"/>
      <c r="R39" s="47"/>
      <c r="S39" s="437" t="str">
        <f>E39</f>
        <v>Woodland (e.g. broad-leaved, orchard)</v>
      </c>
      <c r="T39" s="437"/>
      <c r="U39" s="437"/>
      <c r="V39" s="437"/>
      <c r="W39" s="437"/>
      <c r="X39" s="160" t="s">
        <v>175</v>
      </c>
      <c r="Y39" s="459" t="str">
        <f>IF($X$15="Yes",(IF(X39="Yes",'Data Tables'!L5,0)),"")</f>
        <v/>
      </c>
      <c r="Z39" s="459"/>
      <c r="AA39" s="459"/>
      <c r="AB39" s="223"/>
    </row>
    <row r="40" spans="2:52" ht="15.95" customHeight="1">
      <c r="B40" s="44"/>
      <c r="C40" s="40"/>
      <c r="D40" s="149"/>
      <c r="E40" s="437" t="str">
        <f>'Stage 2'!F34</f>
        <v>Greenspace / semi-natural grassland</v>
      </c>
      <c r="F40" s="437"/>
      <c r="G40" s="437"/>
      <c r="H40" s="437"/>
      <c r="I40" s="437"/>
      <c r="J40" s="103"/>
      <c r="K40" s="203" t="str">
        <f>IF('Stage 2'!K34&gt;0,'Data Tables'!L4,"")</f>
        <v/>
      </c>
      <c r="L40" s="310"/>
      <c r="M40" s="188"/>
      <c r="N40" s="160" t="s">
        <v>175</v>
      </c>
      <c r="O40" s="161" t="s">
        <v>298</v>
      </c>
      <c r="P40" s="179"/>
      <c r="Q40" s="47"/>
      <c r="R40" s="47"/>
      <c r="S40" s="437" t="str">
        <f>E40</f>
        <v>Greenspace / semi-natural grassland</v>
      </c>
      <c r="T40" s="437"/>
      <c r="U40" s="437"/>
      <c r="V40" s="437"/>
      <c r="W40" s="437"/>
      <c r="X40" s="160" t="s">
        <v>175</v>
      </c>
      <c r="Y40" s="459" t="str">
        <f>IF($X$15="Yes",(IF(X40="Yes",'Data Tables'!L4,0)),"")</f>
        <v/>
      </c>
      <c r="Z40" s="459"/>
      <c r="AA40" s="459"/>
      <c r="AB40" s="223"/>
    </row>
    <row r="41" spans="2:52" ht="15.95" customHeight="1">
      <c r="B41" s="44"/>
      <c r="C41" s="40"/>
      <c r="D41" s="149"/>
      <c r="E41" s="437" t="str">
        <f>'Stage 2'!F35</f>
        <v>Shrub / heathland / bracken / bog</v>
      </c>
      <c r="F41" s="437"/>
      <c r="G41" s="437"/>
      <c r="H41" s="437"/>
      <c r="I41" s="437"/>
      <c r="J41" s="103"/>
      <c r="K41" s="203" t="str">
        <f>IF('Stage 2'!K35&gt;0,'Data Tables'!L6,"")</f>
        <v/>
      </c>
      <c r="L41" s="310"/>
      <c r="M41" s="188"/>
      <c r="N41" s="160" t="s">
        <v>175</v>
      </c>
      <c r="O41" s="161" t="s">
        <v>298</v>
      </c>
      <c r="P41" s="179"/>
      <c r="Q41" s="47"/>
      <c r="R41" s="47"/>
      <c r="S41" s="437" t="str">
        <f>E41</f>
        <v>Shrub / heathland / bracken / bog</v>
      </c>
      <c r="T41" s="437"/>
      <c r="U41" s="437"/>
      <c r="V41" s="437"/>
      <c r="W41" s="437"/>
      <c r="X41" s="160" t="s">
        <v>175</v>
      </c>
      <c r="Y41" s="459" t="str">
        <f>IF($X$15="Yes",(IF(X41="Yes",'Data Tables'!L6,0)),"")</f>
        <v/>
      </c>
      <c r="Z41" s="459"/>
      <c r="AA41" s="459"/>
      <c r="AB41" s="223"/>
    </row>
    <row r="42" spans="2:52" ht="15" customHeight="1">
      <c r="B42" s="44"/>
      <c r="C42" s="40"/>
      <c r="D42" s="149"/>
      <c r="E42" s="437" t="str">
        <f>'Stage 2'!F36</f>
        <v>Water</v>
      </c>
      <c r="F42" s="437"/>
      <c r="G42" s="437"/>
      <c r="H42" s="437"/>
      <c r="I42" s="437"/>
      <c r="J42" s="103"/>
      <c r="K42" s="203" t="str">
        <f>IF('Stage 2'!K36&gt;0,'Data Tables'!L7,"")</f>
        <v/>
      </c>
      <c r="L42" s="310"/>
      <c r="M42" s="188"/>
      <c r="N42" s="160" t="s">
        <v>175</v>
      </c>
      <c r="O42" s="161" t="s">
        <v>298</v>
      </c>
      <c r="P42" s="179"/>
      <c r="Q42" s="47"/>
      <c r="R42" s="47"/>
      <c r="S42" s="437" t="str">
        <f>E42</f>
        <v>Water</v>
      </c>
      <c r="T42" s="437"/>
      <c r="U42" s="437"/>
      <c r="V42" s="437"/>
      <c r="W42" s="437"/>
      <c r="X42" s="160" t="s">
        <v>175</v>
      </c>
      <c r="Y42" s="459" t="str">
        <f>IF($X$15="Yes",(IF(X42="Yes",'Data Tables'!L7,0)),"")</f>
        <v/>
      </c>
      <c r="Z42" s="459"/>
      <c r="AA42" s="459"/>
      <c r="AB42" s="223"/>
    </row>
    <row r="43" spans="2:52" ht="15.95" customHeight="1">
      <c r="B43" s="44"/>
      <c r="C43" s="40"/>
      <c r="D43" s="149"/>
      <c r="E43" s="47"/>
      <c r="F43" s="37"/>
      <c r="G43" s="47"/>
      <c r="H43" s="47"/>
      <c r="I43" s="47"/>
      <c r="J43" s="47"/>
      <c r="K43" s="47"/>
      <c r="L43" s="188"/>
      <c r="M43" s="188"/>
      <c r="N43" s="188"/>
      <c r="O43" s="167"/>
      <c r="P43" s="179"/>
      <c r="Q43" s="47"/>
      <c r="R43" s="47"/>
      <c r="S43" s="47"/>
      <c r="T43" s="47"/>
      <c r="U43" s="47"/>
      <c r="V43" s="47"/>
      <c r="W43" s="47"/>
      <c r="X43" s="103"/>
      <c r="Y43" s="47"/>
      <c r="Z43" s="47"/>
      <c r="AA43" s="47"/>
      <c r="AB43" s="223"/>
    </row>
    <row r="44" spans="2:52" ht="15.95" customHeight="1">
      <c r="B44" s="44"/>
      <c r="C44" s="40"/>
      <c r="D44" s="149"/>
      <c r="E44" s="47"/>
      <c r="F44" s="37"/>
      <c r="G44" s="47"/>
      <c r="H44" s="47"/>
      <c r="I44" s="47"/>
      <c r="J44" s="47"/>
      <c r="K44" s="47"/>
      <c r="L44" s="188"/>
      <c r="M44" s="188"/>
      <c r="N44" s="188"/>
      <c r="O44" s="167"/>
      <c r="P44" s="179"/>
      <c r="Q44" s="47"/>
      <c r="R44" s="47"/>
      <c r="S44" s="437" t="s">
        <v>303</v>
      </c>
      <c r="T44" s="437"/>
      <c r="U44" s="437"/>
      <c r="V44" s="437"/>
      <c r="W44" s="437"/>
      <c r="X44" s="311"/>
      <c r="Y44" s="47"/>
      <c r="Z44" s="237"/>
      <c r="AA44" s="47"/>
      <c r="AB44" s="223"/>
    </row>
    <row r="45" spans="2:52" ht="15.95" customHeight="1">
      <c r="B45" s="44"/>
      <c r="C45" s="40"/>
      <c r="D45" s="149"/>
      <c r="E45" s="47"/>
      <c r="F45" s="37"/>
      <c r="G45" s="47"/>
      <c r="H45" s="47"/>
      <c r="I45" s="47"/>
      <c r="J45" s="47"/>
      <c r="K45" s="47"/>
      <c r="L45" s="188"/>
      <c r="M45" s="188"/>
      <c r="N45" s="188"/>
      <c r="O45" s="167"/>
      <c r="P45" s="179"/>
      <c r="Q45" s="47"/>
      <c r="R45" s="47"/>
      <c r="S45" s="47"/>
      <c r="T45" s="47"/>
      <c r="U45" s="47"/>
      <c r="V45" s="47"/>
      <c r="W45" s="47"/>
      <c r="X45" s="103"/>
      <c r="Y45" s="47"/>
      <c r="Z45" s="47"/>
      <c r="AA45" s="47"/>
      <c r="AB45" s="223"/>
    </row>
    <row r="46" spans="2:52" ht="17.45" customHeight="1">
      <c r="B46" s="44"/>
      <c r="C46" s="40"/>
      <c r="D46" s="149"/>
      <c r="E46" s="444" t="s">
        <v>304</v>
      </c>
      <c r="F46" s="444"/>
      <c r="G46" s="444"/>
      <c r="H46" s="444"/>
      <c r="I46" s="444"/>
      <c r="J46" s="198"/>
      <c r="K46" s="47"/>
      <c r="L46" s="192">
        <f>IF(L15="Yes",(IF(N21="Yes",L21,0)+((IF(N26="Yes",K26,0)+IF(N27="Yes",K27,0)+IF(N28="Yes",K28,0))*(1-('Stage 2'!K43/100)))+IF(N29="Yes",K29,0)+IF(N30="Yes",K30,0)+IF(N31="Yes",K31,0)+IF(N32="Yes",K32,0)+IF(N33="Yes",K33,0)+IF(N34="Yes",K34,0)+IF(N35="Yes",K35,0)+IF(N36="Yes",K36,0)+IF(N37="Yes",K37,0)+IF(N38="Yes",K38,0)+IF(N39="Yes",K39,0)+IF(N40="Yes",K40,0)+IF(N41="Yes",K41,0)+IF(N42="Yes",K42,0))/COUNTIF(N21:N42,"Yes"),0)</f>
        <v>0</v>
      </c>
      <c r="M46" s="188"/>
      <c r="N46" s="188"/>
      <c r="O46" s="167"/>
      <c r="P46" s="179"/>
      <c r="Q46" s="47"/>
      <c r="R46" s="47"/>
      <c r="S46" s="444" t="s">
        <v>305</v>
      </c>
      <c r="T46" s="444"/>
      <c r="U46" s="444"/>
      <c r="V46" s="444"/>
      <c r="W46" s="444"/>
      <c r="X46" s="204">
        <f>IFERROR(SUM(Y26:AA42)/(COUNTIF(X26:X42,"Yes")),0)</f>
        <v>0</v>
      </c>
      <c r="Y46" s="148"/>
      <c r="Z46" s="148"/>
      <c r="AA46" s="148"/>
      <c r="AB46" s="223"/>
    </row>
    <row r="47" spans="2:52" ht="15.95" customHeight="1">
      <c r="B47" s="44"/>
      <c r="C47" s="40"/>
      <c r="D47" s="149"/>
      <c r="E47" s="198"/>
      <c r="F47" s="198"/>
      <c r="G47" s="198"/>
      <c r="H47" s="198"/>
      <c r="I47" s="198"/>
      <c r="J47" s="198"/>
      <c r="K47" s="47"/>
      <c r="L47" s="188"/>
      <c r="M47" s="188"/>
      <c r="N47" s="188"/>
      <c r="O47" s="167"/>
      <c r="P47" s="47"/>
      <c r="Q47" s="47"/>
      <c r="R47" s="47"/>
      <c r="S47" s="198"/>
      <c r="T47" s="198"/>
      <c r="U47" s="198"/>
      <c r="V47" s="198"/>
      <c r="W47" s="198"/>
      <c r="X47" s="333"/>
      <c r="Y47" s="226"/>
      <c r="Z47" s="333"/>
      <c r="AA47" s="226"/>
      <c r="AB47" s="223"/>
    </row>
    <row r="48" spans="2:52" ht="15.95" customHeight="1">
      <c r="B48" s="44"/>
      <c r="C48" s="40"/>
      <c r="D48" s="149"/>
      <c r="E48" s="47"/>
      <c r="F48" s="37"/>
      <c r="G48" s="47"/>
      <c r="H48" s="47"/>
      <c r="I48" s="47"/>
      <c r="J48" s="47"/>
      <c r="K48" s="47"/>
      <c r="L48" s="188"/>
      <c r="M48" s="188"/>
      <c r="N48" s="188"/>
      <c r="O48" s="167"/>
      <c r="P48" s="103"/>
      <c r="Q48" s="103"/>
      <c r="R48" s="47"/>
      <c r="S48" s="47"/>
      <c r="T48" s="47"/>
      <c r="U48" s="47"/>
      <c r="V48" s="47"/>
      <c r="W48" s="47"/>
      <c r="X48" s="47"/>
      <c r="Y48" s="47"/>
      <c r="Z48" s="47"/>
      <c r="AA48" s="47"/>
      <c r="AB48" s="223"/>
    </row>
    <row r="49" spans="2:28" ht="15.95" customHeight="1">
      <c r="B49" s="44"/>
      <c r="C49" s="40"/>
      <c r="D49" s="149"/>
      <c r="E49" s="47"/>
      <c r="F49" s="37"/>
      <c r="G49" s="47"/>
      <c r="H49" s="47"/>
      <c r="I49" s="444" t="s">
        <v>306</v>
      </c>
      <c r="J49" s="444"/>
      <c r="K49" s="444"/>
      <c r="L49" s="444"/>
      <c r="M49" s="444"/>
      <c r="N49" s="444"/>
      <c r="O49" s="444"/>
      <c r="P49" s="192" t="str">
        <f>IF(L46+X46&gt;0,L46+X46,"")</f>
        <v/>
      </c>
      <c r="Q49" s="188"/>
      <c r="R49" s="226"/>
      <c r="S49" s="47"/>
      <c r="T49" s="47"/>
      <c r="U49" s="47"/>
      <c r="V49" s="47"/>
      <c r="W49" s="47"/>
      <c r="X49" s="47"/>
      <c r="Y49" s="47"/>
      <c r="Z49" s="47"/>
      <c r="AA49" s="47"/>
      <c r="AB49" s="223"/>
    </row>
    <row r="50" spans="2:28" ht="15.95" customHeight="1" thickBot="1">
      <c r="B50" s="44"/>
      <c r="C50" s="40"/>
      <c r="D50" s="227"/>
      <c r="E50" s="168"/>
      <c r="F50" s="168"/>
      <c r="G50" s="168"/>
      <c r="H50" s="168"/>
      <c r="I50" s="168"/>
      <c r="J50" s="168"/>
      <c r="K50" s="168"/>
      <c r="L50" s="168"/>
      <c r="M50" s="168"/>
      <c r="N50" s="168"/>
      <c r="O50" s="168"/>
      <c r="P50" s="168"/>
      <c r="Q50" s="168"/>
      <c r="R50" s="47"/>
      <c r="S50" s="47"/>
      <c r="T50" s="47"/>
      <c r="U50" s="228"/>
      <c r="V50" s="228"/>
      <c r="W50" s="228"/>
      <c r="X50" s="228"/>
      <c r="Y50" s="228"/>
      <c r="Z50" s="228"/>
      <c r="AA50" s="228"/>
      <c r="AB50" s="229"/>
    </row>
    <row r="51" spans="2:28" ht="11.45" customHeight="1">
      <c r="B51" s="44"/>
      <c r="C51" s="40"/>
      <c r="D51" s="47"/>
      <c r="E51" s="47"/>
      <c r="F51" s="47"/>
      <c r="G51" s="47"/>
      <c r="H51" s="47"/>
      <c r="I51" s="47"/>
      <c r="J51" s="47"/>
      <c r="K51" s="47"/>
      <c r="L51" s="47"/>
      <c r="M51" s="47"/>
      <c r="N51" s="47"/>
      <c r="O51" s="47"/>
      <c r="P51" s="47"/>
      <c r="Q51" s="47"/>
      <c r="R51" s="47"/>
      <c r="S51" s="47"/>
      <c r="T51" s="230"/>
      <c r="U51" s="64"/>
      <c r="V51" s="64"/>
      <c r="W51" s="64"/>
      <c r="X51" s="64"/>
      <c r="Y51" s="64"/>
      <c r="Z51" s="64"/>
      <c r="AA51" s="64"/>
      <c r="AB51" s="64"/>
    </row>
    <row r="52" spans="2:28" ht="12.75" customHeight="1">
      <c r="B52" s="44"/>
      <c r="C52" s="40"/>
      <c r="D52" s="47"/>
      <c r="E52" s="46" t="s">
        <v>239</v>
      </c>
      <c r="F52" s="394" t="s">
        <v>307</v>
      </c>
      <c r="G52" s="394"/>
      <c r="H52" s="394"/>
      <c r="I52" s="394"/>
      <c r="J52" s="394"/>
      <c r="K52" s="394"/>
      <c r="L52" s="103" t="s">
        <v>145</v>
      </c>
      <c r="M52" s="103"/>
      <c r="N52" s="103"/>
      <c r="O52" s="47"/>
      <c r="P52" s="47"/>
      <c r="Q52" s="47"/>
      <c r="R52" s="47"/>
      <c r="S52" s="47"/>
      <c r="T52" s="230"/>
      <c r="U52" s="64"/>
      <c r="V52" s="64"/>
      <c r="W52" s="64"/>
      <c r="X52" s="64"/>
      <c r="Y52" s="64"/>
      <c r="Z52" s="64"/>
      <c r="AA52" s="64"/>
      <c r="AB52" s="64"/>
    </row>
    <row r="53" spans="2:28" ht="12.95" customHeight="1">
      <c r="B53" s="44"/>
      <c r="C53" s="40"/>
      <c r="D53" s="47"/>
      <c r="E53" s="47"/>
      <c r="F53" s="47"/>
      <c r="G53" s="47"/>
      <c r="H53" s="47"/>
      <c r="I53" s="47"/>
      <c r="J53" s="47"/>
      <c r="K53" s="47"/>
      <c r="L53" s="103"/>
      <c r="M53" s="103"/>
      <c r="N53" s="103"/>
      <c r="O53" s="47"/>
      <c r="P53" s="47"/>
      <c r="Q53" s="47"/>
      <c r="R53" s="47"/>
      <c r="S53" s="47"/>
      <c r="T53" s="230"/>
      <c r="U53" s="64"/>
      <c r="V53" s="64"/>
      <c r="W53" s="64"/>
      <c r="X53" s="64"/>
      <c r="Y53" s="64"/>
      <c r="Z53" s="64"/>
      <c r="AA53" s="64"/>
      <c r="AB53" s="64"/>
    </row>
    <row r="54" spans="2:28" ht="12.95" customHeight="1">
      <c r="B54" s="44"/>
      <c r="C54" s="40"/>
      <c r="D54" s="47"/>
      <c r="E54" s="437" t="s">
        <v>308</v>
      </c>
      <c r="F54" s="437"/>
      <c r="G54" s="437"/>
      <c r="H54" s="437"/>
      <c r="I54" s="437"/>
      <c r="J54" s="103"/>
      <c r="K54" s="47"/>
      <c r="L54" s="231" t="e">
        <f>(1/(((P49-(-IF(L62&gt;0,L62,8))))/$L$10))</f>
        <v>#VALUE!</v>
      </c>
      <c r="M54" s="232"/>
      <c r="N54" s="232"/>
      <c r="O54" s="47"/>
      <c r="P54" s="47"/>
      <c r="Q54" s="47"/>
      <c r="R54" s="47"/>
      <c r="S54" s="47"/>
      <c r="T54" s="230"/>
      <c r="U54" s="64"/>
      <c r="V54" s="64"/>
      <c r="W54" s="64"/>
      <c r="X54" s="64"/>
      <c r="Y54" s="64"/>
      <c r="Z54" s="64"/>
      <c r="AA54" s="64"/>
      <c r="AB54" s="64"/>
    </row>
    <row r="55" spans="2:28" ht="14.45" customHeight="1">
      <c r="B55" s="44"/>
      <c r="C55" s="40"/>
      <c r="D55" s="47"/>
      <c r="E55" s="437" t="s">
        <v>309</v>
      </c>
      <c r="F55" s="437"/>
      <c r="G55" s="437"/>
      <c r="H55" s="437"/>
      <c r="I55" s="437"/>
      <c r="J55" s="103"/>
      <c r="K55" s="47"/>
      <c r="L55" s="282" t="e">
        <f>(L10/($P$49-(IF(L15="Yes",IF('Stage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f>
        <v>#VALUE!</v>
      </c>
      <c r="M55" s="232"/>
      <c r="N55" s="232"/>
      <c r="O55" s="47"/>
      <c r="P55" s="47"/>
      <c r="Q55" s="47"/>
      <c r="R55" s="47"/>
      <c r="S55" s="47"/>
      <c r="T55" s="230"/>
      <c r="U55" s="64"/>
      <c r="V55" s="64"/>
      <c r="W55" s="64"/>
      <c r="X55" s="64"/>
      <c r="Y55" s="64"/>
      <c r="Z55" s="64"/>
      <c r="AA55" s="64"/>
      <c r="AB55" s="64"/>
    </row>
    <row r="56" spans="2:28" ht="14.45" customHeight="1">
      <c r="B56" s="44"/>
      <c r="C56" s="40"/>
      <c r="D56" s="47"/>
      <c r="E56" s="437" t="s">
        <v>73</v>
      </c>
      <c r="F56" s="437"/>
      <c r="G56" s="437"/>
      <c r="H56" s="437"/>
      <c r="I56" s="437"/>
      <c r="J56" s="103"/>
      <c r="K56" s="103"/>
      <c r="L56" s="231" t="e">
        <f>(1/(($P$49-'Data Tables'!L7)/$L$10))</f>
        <v>#VALUE!</v>
      </c>
      <c r="M56" s="232"/>
      <c r="N56" s="232"/>
      <c r="O56" s="161"/>
      <c r="P56" s="183"/>
      <c r="Q56" s="183"/>
      <c r="R56" s="161"/>
      <c r="S56" s="47"/>
      <c r="T56" s="230"/>
      <c r="U56" s="64"/>
      <c r="V56" s="64"/>
      <c r="W56" s="64"/>
      <c r="X56" s="64"/>
      <c r="Y56" s="64"/>
      <c r="Z56" s="64"/>
      <c r="AA56" s="64"/>
      <c r="AB56" s="64"/>
    </row>
    <row r="57" spans="2:28" ht="14.45" customHeight="1">
      <c r="B57" s="44"/>
      <c r="C57" s="40"/>
      <c r="D57" s="47"/>
      <c r="E57" s="437" t="s">
        <v>69</v>
      </c>
      <c r="F57" s="437"/>
      <c r="G57" s="437"/>
      <c r="H57" s="437"/>
      <c r="I57" s="437"/>
      <c r="J57" s="103"/>
      <c r="K57" s="103"/>
      <c r="L57" s="231" t="e">
        <f>(1/(($P$49-'Data Tables'!L5)/$L$10))</f>
        <v>#VALUE!</v>
      </c>
      <c r="M57" s="232"/>
      <c r="N57" s="232"/>
      <c r="O57" s="161"/>
      <c r="P57" s="183"/>
      <c r="Q57" s="183"/>
      <c r="R57" s="161"/>
      <c r="S57" s="47"/>
      <c r="T57" s="230"/>
      <c r="U57" s="64"/>
      <c r="V57" s="64"/>
      <c r="W57" s="64"/>
      <c r="X57" s="64"/>
      <c r="Y57" s="64"/>
      <c r="Z57" s="64"/>
      <c r="AA57" s="64"/>
      <c r="AB57" s="64"/>
    </row>
    <row r="58" spans="2:28" ht="14.45" customHeight="1">
      <c r="B58" s="44"/>
      <c r="C58" s="40"/>
      <c r="D58" s="47"/>
      <c r="E58" s="437" t="s">
        <v>310</v>
      </c>
      <c r="F58" s="437"/>
      <c r="G58" s="437"/>
      <c r="H58" s="437"/>
      <c r="I58" s="437"/>
      <c r="J58" s="103"/>
      <c r="K58" s="103"/>
      <c r="L58" s="231" t="e">
        <f>(1/(($P$49-'Data Tables'!L6)/$L$10))</f>
        <v>#VALUE!</v>
      </c>
      <c r="M58" s="232"/>
      <c r="N58" s="232"/>
      <c r="O58" s="161"/>
      <c r="P58" s="183"/>
      <c r="Q58" s="183"/>
      <c r="R58" s="161"/>
      <c r="S58" s="47"/>
      <c r="T58" s="230"/>
      <c r="U58" s="64"/>
      <c r="V58" s="64"/>
      <c r="W58" s="64"/>
      <c r="X58" s="64"/>
      <c r="Y58" s="64"/>
      <c r="Z58" s="64"/>
      <c r="AA58" s="64"/>
      <c r="AB58" s="64"/>
    </row>
    <row r="59" spans="2:28" ht="14.45" customHeight="1">
      <c r="B59" s="44"/>
      <c r="C59" s="40"/>
      <c r="D59" s="47"/>
      <c r="E59" s="437" t="s">
        <v>311</v>
      </c>
      <c r="F59" s="437"/>
      <c r="G59" s="437"/>
      <c r="H59" s="437"/>
      <c r="I59" s="437"/>
      <c r="J59" s="103"/>
      <c r="K59" s="103"/>
      <c r="L59" s="231" t="e">
        <f>(1/(($P$49-'Data Tables'!L4)/$L$10))</f>
        <v>#VALUE!</v>
      </c>
      <c r="M59" s="232"/>
      <c r="N59" s="232"/>
      <c r="O59" s="161"/>
      <c r="P59" s="183"/>
      <c r="Q59" s="183"/>
      <c r="R59" s="161"/>
      <c r="S59" s="47"/>
      <c r="T59" s="230"/>
      <c r="U59" s="64"/>
      <c r="V59" s="64"/>
      <c r="W59" s="64"/>
      <c r="X59" s="64"/>
      <c r="Y59" s="64"/>
      <c r="Z59" s="64"/>
      <c r="AA59" s="64"/>
      <c r="AB59" s="64"/>
    </row>
    <row r="60" spans="2:28" ht="7.5" customHeight="1">
      <c r="B60" s="44"/>
      <c r="C60" s="40"/>
      <c r="D60" s="47"/>
      <c r="E60" s="47"/>
      <c r="F60" s="47"/>
      <c r="G60" s="47"/>
      <c r="H60" s="47"/>
      <c r="I60" s="47"/>
      <c r="J60" s="47"/>
      <c r="K60" s="47"/>
      <c r="L60" s="47"/>
      <c r="M60" s="47"/>
      <c r="N60" s="47"/>
      <c r="O60" s="47"/>
      <c r="P60" s="47"/>
      <c r="Q60" s="47"/>
      <c r="R60" s="47"/>
      <c r="S60" s="47"/>
      <c r="T60" s="230"/>
      <c r="U60" s="64"/>
      <c r="V60" s="64"/>
      <c r="W60" s="64"/>
      <c r="X60" s="64"/>
      <c r="Y60" s="64"/>
      <c r="Z60" s="64"/>
      <c r="AA60" s="64"/>
      <c r="AB60" s="64"/>
    </row>
    <row r="61" spans="2:28" ht="15.95" customHeight="1">
      <c r="B61" s="44"/>
      <c r="C61" s="40"/>
      <c r="D61" s="47"/>
      <c r="E61" s="47"/>
      <c r="F61" s="394" t="s">
        <v>312</v>
      </c>
      <c r="G61" s="394"/>
      <c r="H61" s="394"/>
      <c r="I61" s="394"/>
      <c r="J61" s="394"/>
      <c r="K61" s="394"/>
      <c r="L61" s="148"/>
      <c r="M61" s="148"/>
      <c r="N61" s="148"/>
      <c r="O61" s="47"/>
      <c r="P61" s="47"/>
      <c r="Q61" s="47"/>
      <c r="R61" s="47"/>
      <c r="S61" s="47"/>
      <c r="T61" s="230"/>
      <c r="U61" s="64"/>
      <c r="V61" s="64"/>
      <c r="W61" s="64"/>
      <c r="X61" s="64"/>
      <c r="Y61" s="64"/>
      <c r="Z61" s="64"/>
      <c r="AA61" s="64"/>
      <c r="AB61" s="64"/>
    </row>
    <row r="62" spans="2:28" ht="17.25" customHeight="1">
      <c r="B62" s="44"/>
      <c r="C62" s="40"/>
      <c r="D62" s="47"/>
      <c r="E62" s="47"/>
      <c r="F62" s="47"/>
      <c r="G62" s="394" t="s">
        <v>313</v>
      </c>
      <c r="H62" s="394"/>
      <c r="I62" s="394"/>
      <c r="J62" s="394"/>
      <c r="K62" s="394"/>
      <c r="L62" s="160"/>
      <c r="M62" s="103"/>
      <c r="N62" s="103"/>
      <c r="O62" s="149"/>
      <c r="P62" s="47"/>
      <c r="Q62" s="47"/>
      <c r="R62" s="47"/>
      <c r="S62" s="47"/>
      <c r="T62" s="230"/>
      <c r="U62" s="64"/>
      <c r="V62" s="64"/>
      <c r="W62" s="64"/>
      <c r="X62" s="64"/>
      <c r="Y62" s="64"/>
      <c r="Z62" s="64"/>
      <c r="AA62" s="64"/>
      <c r="AB62" s="64"/>
    </row>
    <row r="63" spans="2:28" ht="57.95" customHeight="1">
      <c r="B63" s="44"/>
      <c r="C63" s="40"/>
      <c r="D63" s="47"/>
      <c r="E63" s="434" t="s">
        <v>314</v>
      </c>
      <c r="F63" s="434"/>
      <c r="G63" s="434"/>
      <c r="H63" s="434"/>
      <c r="I63" s="434"/>
      <c r="J63" s="434"/>
      <c r="K63" s="434"/>
      <c r="L63" s="434"/>
      <c r="M63" s="434"/>
      <c r="N63" s="434"/>
      <c r="O63" s="434"/>
      <c r="P63" s="434"/>
      <c r="Q63" s="434"/>
      <c r="R63" s="434"/>
      <c r="S63" s="434"/>
      <c r="T63" s="230"/>
      <c r="U63" s="64"/>
      <c r="V63" s="64"/>
      <c r="W63" s="64"/>
      <c r="X63" s="64"/>
      <c r="Y63" s="64"/>
      <c r="Z63" s="64"/>
      <c r="AA63" s="64"/>
      <c r="AB63" s="64"/>
    </row>
    <row r="64" spans="2:28" ht="14.45" customHeight="1">
      <c r="B64" s="44"/>
      <c r="C64" s="40"/>
      <c r="D64" s="47"/>
      <c r="E64" s="47"/>
      <c r="F64" s="47"/>
      <c r="G64" s="47"/>
      <c r="H64" s="47"/>
      <c r="I64" s="47"/>
      <c r="J64" s="47"/>
      <c r="K64" s="47"/>
      <c r="L64" s="148"/>
      <c r="M64" s="148"/>
      <c r="N64" s="148"/>
      <c r="O64" s="47"/>
      <c r="P64" s="148"/>
      <c r="Q64" s="148"/>
      <c r="R64" s="47"/>
      <c r="S64" s="47"/>
      <c r="T64" s="230"/>
      <c r="U64" s="64"/>
      <c r="V64" s="64"/>
      <c r="W64" s="64"/>
      <c r="X64" s="64"/>
      <c r="Y64" s="64"/>
      <c r="Z64" s="64"/>
      <c r="AA64" s="64"/>
      <c r="AB64" s="64"/>
    </row>
    <row r="65" spans="2:28" ht="9.9499999999999993" customHeight="1">
      <c r="B65" s="44"/>
      <c r="C65" s="40"/>
      <c r="D65" s="47"/>
      <c r="E65" s="46" t="s">
        <v>201</v>
      </c>
      <c r="F65" s="47" t="s">
        <v>315</v>
      </c>
      <c r="G65" s="47"/>
      <c r="H65" s="47"/>
      <c r="I65" s="47"/>
      <c r="J65" s="47"/>
      <c r="K65" s="47"/>
      <c r="L65" s="103" t="s">
        <v>145</v>
      </c>
      <c r="M65" s="103"/>
      <c r="N65" s="103"/>
      <c r="O65" s="103"/>
      <c r="P65" s="103" t="s">
        <v>145</v>
      </c>
      <c r="Q65" s="103"/>
      <c r="R65" s="103"/>
      <c r="S65" s="47"/>
      <c r="T65" s="230"/>
      <c r="U65" s="64"/>
      <c r="V65" s="64"/>
      <c r="W65" s="64"/>
      <c r="X65" s="64"/>
      <c r="Y65" s="64"/>
      <c r="Z65" s="64"/>
      <c r="AA65" s="64"/>
      <c r="AB65" s="64"/>
    </row>
    <row r="66" spans="2:28" ht="13.5" customHeight="1">
      <c r="B66" s="44"/>
      <c r="C66" s="40"/>
      <c r="D66" s="47"/>
      <c r="E66" s="46"/>
      <c r="F66" s="47"/>
      <c r="G66" s="47"/>
      <c r="H66" s="47"/>
      <c r="I66" s="47"/>
      <c r="J66" s="47"/>
      <c r="K66" s="47"/>
      <c r="L66" s="103"/>
      <c r="M66" s="103"/>
      <c r="N66" s="103"/>
      <c r="O66" s="47"/>
      <c r="P66" s="103"/>
      <c r="Q66" s="103"/>
      <c r="R66" s="103"/>
      <c r="S66" s="47"/>
      <c r="T66" s="230"/>
      <c r="U66" s="64"/>
      <c r="V66" s="233"/>
      <c r="W66" s="64"/>
      <c r="X66" s="64"/>
      <c r="Y66" s="64"/>
      <c r="Z66" s="64"/>
      <c r="AA66" s="64"/>
      <c r="AB66" s="64"/>
    </row>
    <row r="67" spans="2:28" ht="18.95" customHeight="1">
      <c r="B67" s="44"/>
      <c r="C67" s="40"/>
      <c r="D67" s="47"/>
      <c r="E67" s="437" t="s">
        <v>308</v>
      </c>
      <c r="F67" s="437"/>
      <c r="G67" s="437"/>
      <c r="H67" s="437"/>
      <c r="I67" s="437"/>
      <c r="J67" s="103"/>
      <c r="K67" s="103"/>
      <c r="L67" s="234"/>
      <c r="M67" s="183"/>
      <c r="N67" s="183"/>
      <c r="O67" s="161"/>
      <c r="P67" s="231" t="str">
        <f>IF(L67&gt;0,(1/(($P$49-(-IF(L62&gt;0,L62,8)))/L67)),"0")</f>
        <v>0</v>
      </c>
      <c r="Q67" s="232"/>
      <c r="R67" s="161" t="s">
        <v>222</v>
      </c>
      <c r="S67" s="47"/>
      <c r="T67" s="230"/>
      <c r="U67" s="64"/>
      <c r="V67" s="233"/>
      <c r="W67" s="64"/>
      <c r="X67" s="64"/>
      <c r="Y67" s="64"/>
      <c r="Z67" s="64"/>
      <c r="AA67" s="64"/>
      <c r="AB67" s="64"/>
    </row>
    <row r="68" spans="2:28" ht="22.5" customHeight="1">
      <c r="B68" s="44"/>
      <c r="C68" s="40"/>
      <c r="D68" s="47"/>
      <c r="E68" s="437" t="s">
        <v>309</v>
      </c>
      <c r="F68" s="437"/>
      <c r="G68" s="437"/>
      <c r="H68" s="437"/>
      <c r="I68" s="437"/>
      <c r="J68" s="103"/>
      <c r="K68" s="103"/>
      <c r="L68" s="234"/>
      <c r="M68" s="183"/>
      <c r="N68" s="183"/>
      <c r="O68" s="161"/>
      <c r="P68" s="231" t="str">
        <f>IF(L68&gt;0,(1/(($P$49-((IF(L15="Yes",IF('Stage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Tables'!AC52))))))))))))))/L68)),"0")</f>
        <v>0</v>
      </c>
      <c r="Q68" s="232"/>
      <c r="R68" s="161" t="s">
        <v>222</v>
      </c>
      <c r="S68" s="47"/>
      <c r="T68" s="230"/>
      <c r="U68" s="64"/>
      <c r="V68" s="64"/>
      <c r="W68" s="64"/>
      <c r="X68" s="64"/>
      <c r="Y68" s="64"/>
      <c r="Z68" s="64"/>
      <c r="AA68" s="64"/>
      <c r="AB68" s="64"/>
    </row>
    <row r="69" spans="2:28" ht="13.5" customHeight="1">
      <c r="B69" s="44"/>
      <c r="C69" s="40"/>
      <c r="D69" s="47"/>
      <c r="E69" s="437" t="s">
        <v>73</v>
      </c>
      <c r="F69" s="437"/>
      <c r="G69" s="437"/>
      <c r="H69" s="437"/>
      <c r="I69" s="437"/>
      <c r="J69" s="103"/>
      <c r="K69" s="103"/>
      <c r="L69" s="234"/>
      <c r="M69" s="183"/>
      <c r="N69" s="183"/>
      <c r="O69" s="161"/>
      <c r="P69" s="231" t="str">
        <f>IF(L69&gt;0,(1/(($P$49-'Data Tables'!L7)/L69)),"0")</f>
        <v>0</v>
      </c>
      <c r="Q69" s="232"/>
      <c r="R69" s="161" t="s">
        <v>222</v>
      </c>
      <c r="S69" s="47"/>
      <c r="T69" s="230"/>
      <c r="U69" s="64"/>
      <c r="V69" s="233"/>
      <c r="W69" s="64"/>
      <c r="X69" s="64"/>
      <c r="Y69" s="64"/>
      <c r="Z69" s="64"/>
      <c r="AA69" s="64"/>
      <c r="AB69" s="64"/>
    </row>
    <row r="70" spans="2:28" ht="16.5" customHeight="1">
      <c r="B70" s="44"/>
      <c r="C70" s="40"/>
      <c r="D70" s="47"/>
      <c r="E70" s="437" t="s">
        <v>69</v>
      </c>
      <c r="F70" s="437"/>
      <c r="G70" s="437"/>
      <c r="H70" s="437"/>
      <c r="I70" s="437"/>
      <c r="J70" s="103"/>
      <c r="K70" s="103"/>
      <c r="L70" s="234"/>
      <c r="M70" s="183"/>
      <c r="N70" s="183"/>
      <c r="O70" s="161"/>
      <c r="P70" s="231" t="str">
        <f>IF(L70&gt;0,(1/(($P$49-'Data Tables'!L5)/L70)),"0")</f>
        <v>0</v>
      </c>
      <c r="Q70" s="232"/>
      <c r="R70" s="161" t="s">
        <v>222</v>
      </c>
      <c r="S70" s="47"/>
      <c r="T70" s="230"/>
      <c r="U70" s="64"/>
      <c r="V70" s="64"/>
      <c r="W70" s="64"/>
      <c r="X70" s="64"/>
      <c r="Y70" s="64"/>
      <c r="Z70" s="64"/>
      <c r="AA70" s="64"/>
      <c r="AB70" s="64"/>
    </row>
    <row r="71" spans="2:28" ht="16.5" customHeight="1">
      <c r="B71" s="44"/>
      <c r="C71" s="40"/>
      <c r="D71" s="47"/>
      <c r="E71" s="437" t="s">
        <v>310</v>
      </c>
      <c r="F71" s="437"/>
      <c r="G71" s="437"/>
      <c r="H71" s="437"/>
      <c r="I71" s="437"/>
      <c r="J71" s="103"/>
      <c r="K71" s="103"/>
      <c r="L71" s="234"/>
      <c r="M71" s="183"/>
      <c r="N71" s="183"/>
      <c r="O71" s="161"/>
      <c r="P71" s="231" t="str">
        <f>IF(L71&gt;0,(1/(($P$49-'Data Tables'!L6)/L71)),"0")</f>
        <v>0</v>
      </c>
      <c r="Q71" s="232"/>
      <c r="R71" s="161" t="s">
        <v>222</v>
      </c>
      <c r="S71" s="47"/>
      <c r="T71" s="230"/>
      <c r="U71" s="64"/>
      <c r="V71" s="64"/>
      <c r="W71" s="64"/>
      <c r="X71" s="64"/>
      <c r="Y71" s="64"/>
      <c r="Z71" s="64"/>
      <c r="AA71" s="64"/>
      <c r="AB71" s="64"/>
    </row>
    <row r="72" spans="2:28" ht="16.5" customHeight="1">
      <c r="B72" s="44"/>
      <c r="C72" s="40"/>
      <c r="D72" s="47"/>
      <c r="E72" s="437" t="s">
        <v>311</v>
      </c>
      <c r="F72" s="437"/>
      <c r="G72" s="437"/>
      <c r="H72" s="437"/>
      <c r="I72" s="437"/>
      <c r="J72" s="103"/>
      <c r="K72" s="103"/>
      <c r="L72" s="234"/>
      <c r="M72" s="183"/>
      <c r="N72" s="183"/>
      <c r="O72" s="161"/>
      <c r="P72" s="231" t="str">
        <f>IF(L72&gt;0,(1/(($P$49-'Data Tables'!L4)/L72)),"0")</f>
        <v>0</v>
      </c>
      <c r="Q72" s="232"/>
      <c r="R72" s="161" t="s">
        <v>222</v>
      </c>
      <c r="S72" s="47"/>
      <c r="T72" s="230"/>
      <c r="U72" s="64"/>
      <c r="V72" s="64"/>
      <c r="W72" s="64"/>
      <c r="X72" s="64"/>
      <c r="Y72" s="64"/>
      <c r="Z72" s="64"/>
      <c r="AA72" s="64"/>
      <c r="AB72" s="64"/>
    </row>
    <row r="73" spans="2:28" ht="21.95" customHeight="1">
      <c r="B73" s="44"/>
      <c r="C73" s="40"/>
      <c r="D73" s="47"/>
      <c r="E73" s="47"/>
      <c r="F73" s="47"/>
      <c r="G73" s="47"/>
      <c r="H73" s="47"/>
      <c r="I73" s="47"/>
      <c r="J73" s="47"/>
      <c r="K73" s="47"/>
      <c r="L73" s="47"/>
      <c r="M73" s="47"/>
      <c r="N73" s="47"/>
      <c r="O73" s="161"/>
      <c r="P73" s="235"/>
      <c r="Q73" s="235"/>
      <c r="R73" s="161"/>
      <c r="S73" s="47"/>
      <c r="T73" s="230"/>
      <c r="U73" s="64"/>
      <c r="V73" s="64"/>
      <c r="W73" s="64"/>
      <c r="X73" s="64"/>
      <c r="Y73" s="64"/>
      <c r="Z73" s="64"/>
      <c r="AA73" s="64"/>
      <c r="AB73" s="64"/>
    </row>
    <row r="74" spans="2:28" ht="15.75" customHeight="1">
      <c r="B74" s="44"/>
      <c r="C74" s="40"/>
      <c r="D74" s="47"/>
      <c r="E74" s="47"/>
      <c r="F74" s="393" t="s">
        <v>316</v>
      </c>
      <c r="G74" s="393"/>
      <c r="H74" s="393"/>
      <c r="I74" s="393"/>
      <c r="J74" s="105"/>
      <c r="K74" s="47"/>
      <c r="L74" s="192">
        <f>L10-(SUM(L67:L72))</f>
        <v>0</v>
      </c>
      <c r="M74" s="188"/>
      <c r="N74" s="188"/>
      <c r="O74" s="167"/>
      <c r="P74" s="203">
        <f>SUM(P67:P72)</f>
        <v>0</v>
      </c>
      <c r="Q74" s="236"/>
      <c r="R74" s="167" t="s">
        <v>222</v>
      </c>
      <c r="S74" s="47"/>
      <c r="T74" s="230"/>
      <c r="U74" s="64"/>
      <c r="V74" s="64"/>
      <c r="W74" s="64"/>
      <c r="X74" s="64"/>
      <c r="Y74" s="64"/>
      <c r="Z74" s="64"/>
      <c r="AA74" s="64"/>
      <c r="AB74" s="64"/>
    </row>
    <row r="75" spans="2:28" ht="18" customHeight="1">
      <c r="B75" s="44"/>
      <c r="C75" s="40"/>
      <c r="D75" s="47"/>
      <c r="E75" s="47"/>
      <c r="F75" s="47"/>
      <c r="G75" s="47"/>
      <c r="H75" s="47"/>
      <c r="I75" s="47"/>
      <c r="J75" s="47"/>
      <c r="K75" s="47"/>
      <c r="L75" s="47"/>
      <c r="M75" s="47"/>
      <c r="N75" s="47"/>
      <c r="O75" s="47"/>
      <c r="P75" s="47"/>
      <c r="Q75" s="47"/>
      <c r="R75" s="47"/>
      <c r="S75" s="47"/>
      <c r="T75" s="230"/>
      <c r="U75" s="64"/>
      <c r="V75" s="64"/>
      <c r="W75" s="64"/>
      <c r="X75" s="64"/>
      <c r="Y75" s="64"/>
      <c r="Z75" s="64"/>
      <c r="AA75" s="64"/>
      <c r="AB75" s="64"/>
    </row>
    <row r="76" spans="2:28" ht="66" customHeight="1">
      <c r="B76" s="44"/>
      <c r="C76" s="40"/>
      <c r="D76" s="47"/>
      <c r="E76" s="434" t="s">
        <v>317</v>
      </c>
      <c r="F76" s="434"/>
      <c r="G76" s="434"/>
      <c r="H76" s="434"/>
      <c r="I76" s="434"/>
      <c r="J76" s="434"/>
      <c r="K76" s="434"/>
      <c r="L76" s="434"/>
      <c r="M76" s="434"/>
      <c r="N76" s="434"/>
      <c r="O76" s="434"/>
      <c r="P76" s="434"/>
      <c r="Q76" s="434"/>
      <c r="R76" s="434"/>
      <c r="S76" s="434"/>
      <c r="T76" s="230"/>
      <c r="U76" s="64"/>
      <c r="V76" s="64"/>
      <c r="W76" s="64"/>
      <c r="X76" s="64"/>
      <c r="Y76" s="64"/>
      <c r="Z76" s="64"/>
      <c r="AA76" s="64"/>
      <c r="AB76" s="64"/>
    </row>
    <row r="77" spans="2:28" ht="15.6">
      <c r="B77" s="44"/>
      <c r="C77" s="40"/>
      <c r="D77" s="47"/>
      <c r="E77" s="47"/>
      <c r="F77" s="47"/>
      <c r="G77" s="47"/>
      <c r="H77" s="47"/>
      <c r="I77" s="47"/>
      <c r="J77" s="47"/>
      <c r="K77" s="47"/>
      <c r="L77" s="47"/>
      <c r="M77" s="47"/>
      <c r="N77" s="47"/>
      <c r="O77" s="47"/>
      <c r="P77" s="47"/>
      <c r="Q77" s="47"/>
      <c r="R77" s="47"/>
      <c r="S77" s="47"/>
      <c r="T77" s="230"/>
      <c r="U77" s="64"/>
      <c r="V77" s="64"/>
      <c r="W77" s="64"/>
      <c r="X77" s="64"/>
      <c r="Y77" s="64"/>
      <c r="Z77" s="64"/>
      <c r="AA77" s="64"/>
      <c r="AB77" s="64"/>
    </row>
    <row r="78" spans="2:28" ht="15.6">
      <c r="B78" s="44"/>
      <c r="C78" s="40"/>
      <c r="D78" s="47"/>
      <c r="E78" s="46" t="s">
        <v>277</v>
      </c>
      <c r="F78" s="47" t="s">
        <v>315</v>
      </c>
      <c r="G78" s="47"/>
      <c r="H78" s="47"/>
      <c r="I78" s="47"/>
      <c r="J78" s="47"/>
      <c r="K78" s="47"/>
      <c r="L78" s="103" t="s">
        <v>145</v>
      </c>
      <c r="M78" s="103"/>
      <c r="N78" s="103"/>
      <c r="O78" s="103"/>
      <c r="P78" s="103" t="s">
        <v>145</v>
      </c>
      <c r="Q78" s="103"/>
      <c r="R78" s="103"/>
      <c r="S78" s="47"/>
      <c r="T78" s="230"/>
      <c r="U78" s="64"/>
      <c r="V78" s="64"/>
      <c r="W78" s="64"/>
      <c r="X78" s="64"/>
      <c r="Y78" s="64"/>
      <c r="Z78" s="64"/>
      <c r="AA78" s="64"/>
      <c r="AB78" s="64"/>
    </row>
    <row r="79" spans="2:28" ht="15.6">
      <c r="B79" s="44"/>
      <c r="C79" s="40"/>
      <c r="D79" s="47"/>
      <c r="E79" s="46"/>
      <c r="F79" s="47"/>
      <c r="G79" s="47"/>
      <c r="H79" s="47"/>
      <c r="I79" s="47"/>
      <c r="J79" s="47"/>
      <c r="K79" s="47"/>
      <c r="L79" s="103"/>
      <c r="M79" s="103"/>
      <c r="N79" s="103"/>
      <c r="O79" s="47"/>
      <c r="P79" s="103"/>
      <c r="Q79" s="103"/>
      <c r="R79" s="103"/>
      <c r="S79" s="47"/>
      <c r="T79" s="230"/>
      <c r="U79" s="64"/>
      <c r="V79" s="64"/>
      <c r="W79" s="64"/>
      <c r="X79" s="64"/>
      <c r="Y79" s="64"/>
      <c r="Z79" s="64"/>
      <c r="AA79" s="64"/>
      <c r="AB79" s="64"/>
    </row>
    <row r="80" spans="2:28" ht="15.6">
      <c r="B80" s="44"/>
      <c r="C80" s="40"/>
      <c r="D80" s="47"/>
      <c r="E80" s="437" t="s">
        <v>308</v>
      </c>
      <c r="F80" s="437"/>
      <c r="G80" s="437"/>
      <c r="H80" s="437"/>
      <c r="I80" s="437"/>
      <c r="J80" s="103"/>
      <c r="K80" s="103"/>
      <c r="L80" s="199"/>
      <c r="M80" s="232"/>
      <c r="N80" s="232"/>
      <c r="O80" s="161"/>
      <c r="P80" s="187" t="e">
        <f>L80*($P$49-(-IF(L62&gt;0,L62,8)))</f>
        <v>#VALUE!</v>
      </c>
      <c r="Q80" s="183"/>
      <c r="R80" s="161" t="s">
        <v>199</v>
      </c>
      <c r="S80" s="47"/>
      <c r="T80" s="230"/>
      <c r="U80" s="64"/>
      <c r="V80" s="64"/>
      <c r="W80" s="64"/>
      <c r="X80" s="64"/>
      <c r="Y80" s="64"/>
      <c r="Z80" s="64"/>
      <c r="AA80" s="64"/>
      <c r="AB80" s="64"/>
    </row>
    <row r="81" spans="2:28" ht="15.6">
      <c r="B81" s="44"/>
      <c r="C81" s="40"/>
      <c r="D81" s="47"/>
      <c r="E81" s="437" t="s">
        <v>309</v>
      </c>
      <c r="F81" s="437"/>
      <c r="G81" s="437"/>
      <c r="H81" s="437"/>
      <c r="I81" s="437"/>
      <c r="J81" s="103"/>
      <c r="K81" s="103"/>
      <c r="L81" s="199"/>
      <c r="M81" s="232"/>
      <c r="N81" s="232"/>
      <c r="O81" s="161"/>
      <c r="P81" s="187" t="e">
        <f>L81*($P$49-((IF(L15="Yes",IF('Stage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f>
        <v>#VALUE!</v>
      </c>
      <c r="Q81" s="183"/>
      <c r="R81" s="161" t="s">
        <v>199</v>
      </c>
      <c r="S81" s="47"/>
      <c r="T81" s="230"/>
      <c r="U81" s="64"/>
      <c r="V81" s="64"/>
      <c r="W81" s="64"/>
      <c r="X81" s="64"/>
      <c r="Y81" s="64"/>
      <c r="Z81" s="64"/>
      <c r="AA81" s="64"/>
      <c r="AB81" s="64"/>
    </row>
    <row r="82" spans="2:28" ht="15.6">
      <c r="B82" s="44"/>
      <c r="C82" s="40"/>
      <c r="D82" s="47"/>
      <c r="E82" s="437" t="s">
        <v>73</v>
      </c>
      <c r="F82" s="437"/>
      <c r="G82" s="437"/>
      <c r="H82" s="437"/>
      <c r="I82" s="437"/>
      <c r="J82" s="103"/>
      <c r="K82" s="103"/>
      <c r="L82" s="199"/>
      <c r="M82" s="232"/>
      <c r="N82" s="232"/>
      <c r="O82" s="161"/>
      <c r="P82" s="187" t="e">
        <f>L82*($P$49-'Data Tables'!L7)</f>
        <v>#VALUE!</v>
      </c>
      <c r="Q82" s="183"/>
      <c r="R82" s="161" t="s">
        <v>199</v>
      </c>
      <c r="S82" s="47"/>
      <c r="T82" s="230"/>
      <c r="U82" s="64"/>
      <c r="V82" s="64"/>
      <c r="W82" s="64"/>
      <c r="X82" s="64"/>
      <c r="Y82" s="64"/>
      <c r="Z82" s="64"/>
      <c r="AA82" s="64"/>
      <c r="AB82" s="64"/>
    </row>
    <row r="83" spans="2:28" ht="15.6">
      <c r="B83" s="44"/>
      <c r="C83" s="40"/>
      <c r="D83" s="47"/>
      <c r="E83" s="437" t="s">
        <v>69</v>
      </c>
      <c r="F83" s="437"/>
      <c r="G83" s="437"/>
      <c r="H83" s="437"/>
      <c r="I83" s="437"/>
      <c r="J83" s="103"/>
      <c r="K83" s="103"/>
      <c r="L83" s="199"/>
      <c r="M83" s="232"/>
      <c r="N83" s="232"/>
      <c r="O83" s="161"/>
      <c r="P83" s="187" t="e">
        <f>L83*($P$49-'Data Tables'!L5)</f>
        <v>#VALUE!</v>
      </c>
      <c r="Q83" s="183"/>
      <c r="R83" s="161" t="s">
        <v>199</v>
      </c>
      <c r="S83" s="47"/>
      <c r="T83" s="230"/>
      <c r="U83" s="64"/>
      <c r="V83" s="64"/>
      <c r="W83" s="64"/>
      <c r="X83" s="64"/>
      <c r="Y83" s="64"/>
      <c r="Z83" s="64"/>
      <c r="AA83" s="64"/>
      <c r="AB83" s="64"/>
    </row>
    <row r="84" spans="2:28" ht="15.6">
      <c r="B84" s="44"/>
      <c r="C84" s="40"/>
      <c r="D84" s="47"/>
      <c r="E84" s="437" t="s">
        <v>310</v>
      </c>
      <c r="F84" s="437"/>
      <c r="G84" s="437"/>
      <c r="H84" s="437"/>
      <c r="I84" s="437"/>
      <c r="J84" s="103"/>
      <c r="K84" s="103"/>
      <c r="L84" s="199"/>
      <c r="M84" s="232"/>
      <c r="N84" s="232"/>
      <c r="O84" s="161"/>
      <c r="P84" s="187" t="e">
        <f>L84*($P$49-'Data Tables'!L6)</f>
        <v>#VALUE!</v>
      </c>
      <c r="Q84" s="183"/>
      <c r="R84" s="161" t="s">
        <v>199</v>
      </c>
      <c r="S84" s="47"/>
      <c r="T84" s="230"/>
      <c r="U84" s="64"/>
      <c r="V84" s="64"/>
      <c r="W84" s="64"/>
      <c r="X84" s="64"/>
      <c r="Y84" s="64"/>
      <c r="Z84" s="64"/>
      <c r="AA84" s="64"/>
      <c r="AB84" s="64"/>
    </row>
    <row r="85" spans="2:28" ht="15.6">
      <c r="B85" s="44"/>
      <c r="C85" s="40"/>
      <c r="D85" s="47"/>
      <c r="E85" s="437" t="s">
        <v>311</v>
      </c>
      <c r="F85" s="437"/>
      <c r="G85" s="437"/>
      <c r="H85" s="437"/>
      <c r="I85" s="437"/>
      <c r="J85" s="103"/>
      <c r="K85" s="103"/>
      <c r="L85" s="199"/>
      <c r="M85" s="232"/>
      <c r="N85" s="232"/>
      <c r="O85" s="161"/>
      <c r="P85" s="187" t="e">
        <f>L85*($P$49-'Data Tables'!L4)</f>
        <v>#VALUE!</v>
      </c>
      <c r="Q85" s="183"/>
      <c r="R85" s="161" t="s">
        <v>199</v>
      </c>
      <c r="S85" s="47"/>
      <c r="T85" s="230"/>
      <c r="U85" s="64"/>
      <c r="V85" s="64"/>
      <c r="W85" s="64"/>
      <c r="X85" s="64"/>
      <c r="Y85" s="64"/>
      <c r="Z85" s="64"/>
      <c r="AA85" s="64"/>
      <c r="AB85" s="64"/>
    </row>
    <row r="86" spans="2:28" ht="30" customHeight="1">
      <c r="B86" s="44"/>
      <c r="C86" s="40"/>
      <c r="D86" s="47"/>
      <c r="E86" s="47"/>
      <c r="F86" s="47"/>
      <c r="G86" s="47"/>
      <c r="H86" s="47"/>
      <c r="I86" s="47"/>
      <c r="J86" s="47"/>
      <c r="K86" s="47"/>
      <c r="L86" s="237"/>
      <c r="M86" s="237"/>
      <c r="N86" s="237"/>
      <c r="O86" s="161"/>
      <c r="P86" s="161"/>
      <c r="Q86" s="161"/>
      <c r="R86" s="161"/>
      <c r="S86" s="47"/>
      <c r="T86" s="230"/>
      <c r="U86" s="64"/>
      <c r="V86" s="64"/>
      <c r="W86" s="64"/>
      <c r="X86" s="64"/>
      <c r="Y86" s="64"/>
      <c r="Z86" s="64"/>
      <c r="AA86" s="64"/>
      <c r="AB86" s="64"/>
    </row>
    <row r="87" spans="2:28" ht="29.45" customHeight="1">
      <c r="B87" s="44"/>
      <c r="C87" s="40"/>
      <c r="D87" s="47"/>
      <c r="E87" s="47"/>
      <c r="F87" s="393" t="s">
        <v>316</v>
      </c>
      <c r="G87" s="393"/>
      <c r="H87" s="393"/>
      <c r="I87" s="393"/>
      <c r="J87" s="105"/>
      <c r="K87" s="47"/>
      <c r="L87" s="203">
        <f>(SUM(L80:L85))</f>
        <v>0</v>
      </c>
      <c r="M87" s="236"/>
      <c r="N87" s="236"/>
      <c r="O87" s="167"/>
      <c r="P87" s="192" t="e">
        <f>L10-(SUM(P80:P85))</f>
        <v>#VALUE!</v>
      </c>
      <c r="Q87" s="188"/>
      <c r="R87" s="167" t="s">
        <v>206</v>
      </c>
      <c r="S87" s="47"/>
      <c r="T87" s="230"/>
      <c r="U87" s="64"/>
      <c r="V87" s="64"/>
      <c r="W87" s="64"/>
      <c r="X87" s="64"/>
      <c r="Y87" s="64"/>
      <c r="Z87" s="64"/>
      <c r="AA87" s="64"/>
      <c r="AB87" s="64"/>
    </row>
    <row r="88" spans="2:28" ht="15" customHeight="1">
      <c r="B88" s="44"/>
      <c r="C88" s="40"/>
      <c r="D88" s="47"/>
      <c r="E88" s="47"/>
      <c r="F88" s="47"/>
      <c r="G88" s="47"/>
      <c r="H88" s="47"/>
      <c r="I88" s="47"/>
      <c r="J88" s="47"/>
      <c r="K88" s="47"/>
      <c r="L88" s="47"/>
      <c r="M88" s="47"/>
      <c r="N88" s="47"/>
      <c r="O88" s="47"/>
      <c r="P88" s="47"/>
      <c r="Q88" s="47"/>
      <c r="R88" s="47"/>
      <c r="S88" s="47"/>
      <c r="T88" s="230"/>
      <c r="U88" s="64"/>
      <c r="V88" s="64"/>
      <c r="W88" s="64"/>
      <c r="X88" s="64"/>
      <c r="Y88" s="64"/>
      <c r="Z88" s="64"/>
      <c r="AA88" s="64"/>
      <c r="AB88" s="64"/>
    </row>
    <row r="89" spans="2:28" ht="51.75" customHeight="1" thickBot="1">
      <c r="B89" s="48"/>
      <c r="C89" s="49"/>
      <c r="D89" s="228"/>
      <c r="E89" s="457" t="s">
        <v>318</v>
      </c>
      <c r="F89" s="457"/>
      <c r="G89" s="457"/>
      <c r="H89" s="457"/>
      <c r="I89" s="457"/>
      <c r="J89" s="457"/>
      <c r="K89" s="457"/>
      <c r="L89" s="457"/>
      <c r="M89" s="457"/>
      <c r="N89" s="457"/>
      <c r="O89" s="457"/>
      <c r="P89" s="457"/>
      <c r="Q89" s="457"/>
      <c r="R89" s="457"/>
      <c r="S89" s="457"/>
      <c r="T89" s="238"/>
      <c r="U89" s="64"/>
      <c r="V89" s="64"/>
      <c r="W89" s="64"/>
      <c r="X89" s="64"/>
      <c r="Y89" s="64"/>
      <c r="Z89" s="64"/>
      <c r="AA89" s="64"/>
      <c r="AB89" s="64"/>
    </row>
    <row r="90" spans="2:28" ht="18" customHeight="1">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row>
    <row r="93" spans="2:28"/>
    <row r="94" spans="2:28"/>
  </sheetData>
  <sheetProtection selectLockedCells="1"/>
  <mergeCells count="88">
    <mergeCell ref="Y26:AA26"/>
    <mergeCell ref="Y27:AA27"/>
    <mergeCell ref="Y28:AA28"/>
    <mergeCell ref="Y42:AA42"/>
    <mergeCell ref="Y41:AA41"/>
    <mergeCell ref="Y40:AA40"/>
    <mergeCell ref="Y39:AA39"/>
    <mergeCell ref="E89:S89"/>
    <mergeCell ref="E76:S76"/>
    <mergeCell ref="E29:I29"/>
    <mergeCell ref="E30:I30"/>
    <mergeCell ref="E31:I31"/>
    <mergeCell ref="E32:I32"/>
    <mergeCell ref="E33:I33"/>
    <mergeCell ref="E39:I39"/>
    <mergeCell ref="E40:I40"/>
    <mergeCell ref="F87:I87"/>
    <mergeCell ref="E82:I82"/>
    <mergeCell ref="E83:I83"/>
    <mergeCell ref="E84:I84"/>
    <mergeCell ref="E85:I85"/>
    <mergeCell ref="E55:I55"/>
    <mergeCell ref="E35:I35"/>
    <mergeCell ref="E46:I46"/>
    <mergeCell ref="I49:O49"/>
    <mergeCell ref="E42:I42"/>
    <mergeCell ref="E56:I56"/>
    <mergeCell ref="F52:K52"/>
    <mergeCell ref="E54:I54"/>
    <mergeCell ref="E57:I57"/>
    <mergeCell ref="E58:I58"/>
    <mergeCell ref="E59:I59"/>
    <mergeCell ref="E63:S63"/>
    <mergeCell ref="G62:K62"/>
    <mergeCell ref="F61:K61"/>
    <mergeCell ref="E80:I80"/>
    <mergeCell ref="E81:I81"/>
    <mergeCell ref="E67:I67"/>
    <mergeCell ref="E68:I68"/>
    <mergeCell ref="E69:I69"/>
    <mergeCell ref="E70:I70"/>
    <mergeCell ref="E71:I71"/>
    <mergeCell ref="F74:I74"/>
    <mergeCell ref="E72:I72"/>
    <mergeCell ref="S46:W46"/>
    <mergeCell ref="S42:W42"/>
    <mergeCell ref="S31:W31"/>
    <mergeCell ref="S32:W32"/>
    <mergeCell ref="S39:W39"/>
    <mergeCell ref="S40:W40"/>
    <mergeCell ref="S44:W44"/>
    <mergeCell ref="S33:W33"/>
    <mergeCell ref="E36:I36"/>
    <mergeCell ref="S34:W34"/>
    <mergeCell ref="S36:W36"/>
    <mergeCell ref="E41:I41"/>
    <mergeCell ref="S41:W41"/>
    <mergeCell ref="S37:W37"/>
    <mergeCell ref="E38:I38"/>
    <mergeCell ref="S38:W38"/>
    <mergeCell ref="E37:I37"/>
    <mergeCell ref="F21:K21"/>
    <mergeCell ref="S35:W35"/>
    <mergeCell ref="E26:I26"/>
    <mergeCell ref="E27:I27"/>
    <mergeCell ref="E28:I28"/>
    <mergeCell ref="S26:W26"/>
    <mergeCell ref="S27:W27"/>
    <mergeCell ref="S28:W28"/>
    <mergeCell ref="F25:K25"/>
    <mergeCell ref="S30:W30"/>
    <mergeCell ref="E34:I34"/>
    <mergeCell ref="F3:S3"/>
    <mergeCell ref="E4:S6"/>
    <mergeCell ref="S29:W29"/>
    <mergeCell ref="S20:W20"/>
    <mergeCell ref="S21:W21"/>
    <mergeCell ref="S22:W22"/>
    <mergeCell ref="S23:W23"/>
    <mergeCell ref="S15:W15"/>
    <mergeCell ref="S17:X17"/>
    <mergeCell ref="S18:X18"/>
    <mergeCell ref="F19:K19"/>
    <mergeCell ref="R24:AB24"/>
    <mergeCell ref="S25:W25"/>
    <mergeCell ref="F8:K8"/>
    <mergeCell ref="F13:K13"/>
    <mergeCell ref="E17:O17"/>
  </mergeCells>
  <dataValidations count="4">
    <dataValidation type="list" allowBlank="1" showInputMessage="1" showErrorMessage="1" sqref="X15 L15 X23 N21 N26:N42 X26:X42" xr:uid="{E6DC8A56-E92E-46F6-BBF2-952F18BC3B2D}">
      <formula1>"Yes,No"</formula1>
    </dataValidation>
    <dataValidation type="list" allowBlank="1" showInputMessage="1" showErrorMessage="1" sqref="X20" xr:uid="{E363D278-5B8A-4577-9882-82D958FBBE5D}">
      <formula1>"Tone, Parrett, Brue &amp; Axe"</formula1>
    </dataValidation>
    <dataValidation type="list" allowBlank="1" showInputMessage="1" showErrorMessage="1" sqref="X21" xr:uid="{2480826A-6731-4237-8754-C8F2BFE5DC89}">
      <formula1>"Freely draining, Impermeable - drained for arable, Impermeable - drained for arable and grassland"</formula1>
    </dataValidation>
    <dataValidation type="list" allowBlank="1" showInputMessage="1" showErrorMessage="1" sqref="X22" xr:uid="{9EAD6338-C63C-42E9-8E55-D727E1317DF2}">
      <formula1>"650-675,675-700,700-750,750-800,800-850,850-900,900-950,950-1000,1000-1100,1100-1200,1200-1400"</formula1>
    </dataValidation>
  </dataValidations>
  <pageMargins left="0.25" right="0.25" top="0.75" bottom="0.75" header="0.3" footer="0.3"/>
  <pageSetup paperSize="9" scale="45" orientation="portrait" horizontalDpi="360" verticalDpi="360" r:id="rId1"/>
  <headerFooter>
    <oddHeader>&amp;LPhosphate Budget Calculator&amp;CStage 5</oddHeader>
    <oddFooter>&amp;LVersion 2.2&amp;R&amp;D</oddFooter>
  </headerFooter>
  <customProperties>
    <customPr name="SSC_SHEET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1C5D0-AD80-4A39-8E3F-F7AFE3C54569}">
  <sheetPr codeName="Sheet9">
    <tabColor theme="7" tint="0.79998168889431442"/>
    <pageSetUpPr fitToPage="1"/>
  </sheetPr>
  <dimension ref="A1:BD94"/>
  <sheetViews>
    <sheetView workbookViewId="0"/>
  </sheetViews>
  <sheetFormatPr defaultRowHeight="12.6" zeroHeight="1"/>
  <cols>
    <col min="2" max="3" width="0.85546875" customWidth="1"/>
    <col min="4" max="4" width="2.28515625" customWidth="1"/>
    <col min="5" max="5" width="12.5703125" customWidth="1"/>
    <col min="7" max="7" width="10" customWidth="1"/>
    <col min="8" max="8" width="10.28515625" customWidth="1"/>
    <col min="9" max="9" width="20.42578125" customWidth="1"/>
    <col min="10" max="10" width="14" customWidth="1"/>
    <col min="11" max="11" width="13.140625" hidden="1" customWidth="1"/>
    <col min="12" max="12" width="12.85546875" customWidth="1"/>
    <col min="13" max="13" width="4.28515625" customWidth="1"/>
    <col min="14" max="14" width="8.85546875" customWidth="1"/>
    <col min="15" max="15" width="16.42578125" customWidth="1"/>
    <col min="16" max="16" width="13.85546875" customWidth="1"/>
    <col min="17" max="17" width="2.28515625" customWidth="1"/>
    <col min="18" max="18" width="11.7109375" customWidth="1"/>
    <col min="19" max="19" width="5.42578125" customWidth="1"/>
    <col min="20" max="20" width="0.85546875" customWidth="1"/>
    <col min="21" max="21" width="12.28515625" customWidth="1"/>
    <col min="23" max="23" width="25.5703125" customWidth="1"/>
    <col min="24" max="24" width="23.140625" customWidth="1"/>
    <col min="25" max="27" width="15.42578125" hidden="1" customWidth="1"/>
    <col min="28" max="28" width="2.140625" customWidth="1"/>
    <col min="30" max="30" width="12" bestFit="1" customWidth="1"/>
    <col min="33" max="33" width="8.7109375" customWidth="1"/>
  </cols>
  <sheetData>
    <row r="1" spans="1:28" ht="8.4499999999999993" customHeight="1" thickBot="1">
      <c r="A1" s="73" t="s">
        <v>283</v>
      </c>
    </row>
    <row r="2" spans="1:28" ht="11.45" customHeight="1">
      <c r="B2" s="41"/>
      <c r="C2" s="42"/>
      <c r="D2" s="219"/>
      <c r="E2" s="219"/>
      <c r="F2" s="219"/>
      <c r="G2" s="219"/>
      <c r="H2" s="219"/>
      <c r="I2" s="219"/>
      <c r="J2" s="219"/>
      <c r="K2" s="219"/>
      <c r="L2" s="219"/>
      <c r="M2" s="219"/>
      <c r="N2" s="219"/>
      <c r="O2" s="219"/>
      <c r="P2" s="219"/>
      <c r="Q2" s="219"/>
      <c r="R2" s="219"/>
      <c r="S2" s="219"/>
      <c r="T2" s="220"/>
      <c r="U2" s="151"/>
      <c r="V2" s="151"/>
      <c r="W2" s="151"/>
      <c r="X2" s="151"/>
      <c r="Y2" s="151"/>
      <c r="Z2" s="151"/>
      <c r="AA2" s="151"/>
      <c r="AB2" s="151"/>
    </row>
    <row r="3" spans="1:28" ht="28.5" customHeight="1">
      <c r="B3" s="44"/>
      <c r="C3" s="38"/>
      <c r="D3" s="195"/>
      <c r="E3" s="119" t="s">
        <v>319</v>
      </c>
      <c r="F3" s="440" t="s">
        <v>284</v>
      </c>
      <c r="G3" s="440"/>
      <c r="H3" s="440"/>
      <c r="I3" s="440"/>
      <c r="J3" s="440"/>
      <c r="K3" s="440"/>
      <c r="L3" s="440"/>
      <c r="M3" s="440"/>
      <c r="N3" s="440"/>
      <c r="O3" s="440"/>
      <c r="P3" s="440"/>
      <c r="Q3" s="440"/>
      <c r="R3" s="440"/>
      <c r="S3" s="440"/>
      <c r="T3" s="157"/>
      <c r="U3" s="151"/>
      <c r="V3" s="151"/>
      <c r="W3" s="151"/>
      <c r="X3" s="151"/>
      <c r="Y3" s="151"/>
      <c r="Z3" s="151"/>
      <c r="AA3" s="151"/>
      <c r="AB3" s="151"/>
    </row>
    <row r="4" spans="1:28" ht="6.75" customHeight="1">
      <c r="B4" s="44"/>
      <c r="C4" s="52"/>
      <c r="D4" s="196"/>
      <c r="E4" s="434" t="s">
        <v>320</v>
      </c>
      <c r="F4" s="434"/>
      <c r="G4" s="434"/>
      <c r="H4" s="434"/>
      <c r="I4" s="434"/>
      <c r="J4" s="434"/>
      <c r="K4" s="434"/>
      <c r="L4" s="434"/>
      <c r="M4" s="434"/>
      <c r="N4" s="434"/>
      <c r="O4" s="434"/>
      <c r="P4" s="434"/>
      <c r="Q4" s="434"/>
      <c r="R4" s="434"/>
      <c r="S4" s="434"/>
      <c r="T4" s="157"/>
      <c r="U4" s="151"/>
      <c r="V4" s="151"/>
      <c r="W4" s="151"/>
      <c r="X4" s="151"/>
      <c r="Y4" s="151"/>
      <c r="Z4" s="151"/>
      <c r="AA4" s="151"/>
      <c r="AB4" s="151"/>
    </row>
    <row r="5" spans="1:28" ht="6.75" customHeight="1">
      <c r="B5" s="44"/>
      <c r="C5" s="52"/>
      <c r="D5" s="196"/>
      <c r="E5" s="434"/>
      <c r="F5" s="434"/>
      <c r="G5" s="434"/>
      <c r="H5" s="434"/>
      <c r="I5" s="434"/>
      <c r="J5" s="434"/>
      <c r="K5" s="434"/>
      <c r="L5" s="434"/>
      <c r="M5" s="434"/>
      <c r="N5" s="434"/>
      <c r="O5" s="434"/>
      <c r="P5" s="434"/>
      <c r="Q5" s="434"/>
      <c r="R5" s="434"/>
      <c r="S5" s="434"/>
      <c r="T5" s="157"/>
      <c r="U5" s="151"/>
      <c r="V5" s="151"/>
      <c r="W5" s="151"/>
      <c r="X5" s="151"/>
      <c r="Y5" s="151"/>
      <c r="Z5" s="151"/>
      <c r="AA5" s="151"/>
      <c r="AB5" s="151"/>
    </row>
    <row r="6" spans="1:28" ht="53.25" customHeight="1">
      <c r="B6" s="44"/>
      <c r="C6" s="40"/>
      <c r="D6" s="149"/>
      <c r="E6" s="434"/>
      <c r="F6" s="434"/>
      <c r="G6" s="434"/>
      <c r="H6" s="434"/>
      <c r="I6" s="434"/>
      <c r="J6" s="434"/>
      <c r="K6" s="434"/>
      <c r="L6" s="434"/>
      <c r="M6" s="434"/>
      <c r="N6" s="434"/>
      <c r="O6" s="434"/>
      <c r="P6" s="434"/>
      <c r="Q6" s="434"/>
      <c r="R6" s="434"/>
      <c r="S6" s="434"/>
      <c r="T6" s="157"/>
      <c r="U6" s="151"/>
      <c r="V6" s="151"/>
      <c r="W6" s="151"/>
      <c r="X6" s="151"/>
      <c r="Y6" s="151"/>
      <c r="Z6" s="151"/>
      <c r="AA6" s="151"/>
      <c r="AB6" s="151"/>
    </row>
    <row r="7" spans="1:28" ht="21" customHeight="1">
      <c r="B7" s="44"/>
      <c r="C7" s="40"/>
      <c r="D7" s="191"/>
      <c r="E7" s="197"/>
      <c r="F7" s="197"/>
      <c r="G7" s="197"/>
      <c r="H7" s="197"/>
      <c r="I7" s="197"/>
      <c r="J7" s="197"/>
      <c r="K7" s="197"/>
      <c r="L7" s="197"/>
      <c r="M7" s="197"/>
      <c r="N7" s="197"/>
      <c r="O7" s="197"/>
      <c r="P7" s="197"/>
      <c r="Q7" s="197"/>
      <c r="R7" s="197"/>
      <c r="S7" s="197"/>
      <c r="T7" s="157"/>
      <c r="U7" s="151"/>
      <c r="V7" s="151"/>
      <c r="W7" s="151"/>
      <c r="X7" s="151"/>
      <c r="Y7" s="151"/>
      <c r="Z7" s="151"/>
      <c r="AA7" s="151"/>
      <c r="AB7" s="151"/>
    </row>
    <row r="8" spans="1:28" ht="37.5" customHeight="1">
      <c r="B8" s="44"/>
      <c r="C8" s="53"/>
      <c r="D8" s="149"/>
      <c r="E8" s="46" t="s">
        <v>143</v>
      </c>
      <c r="F8" s="394" t="s">
        <v>286</v>
      </c>
      <c r="G8" s="394"/>
      <c r="H8" s="394"/>
      <c r="I8" s="394"/>
      <c r="J8" s="394"/>
      <c r="K8" s="394"/>
      <c r="L8" s="103" t="s">
        <v>145</v>
      </c>
      <c r="M8" s="103"/>
      <c r="N8" s="103"/>
      <c r="O8" s="103" t="s">
        <v>146</v>
      </c>
      <c r="P8" s="103"/>
      <c r="Q8" s="103"/>
      <c r="R8" s="103"/>
      <c r="S8" s="47"/>
      <c r="T8" s="157"/>
      <c r="U8" s="151"/>
      <c r="V8" s="151"/>
      <c r="W8" s="151"/>
      <c r="X8" s="151"/>
      <c r="Y8" s="151"/>
      <c r="Z8" s="151"/>
      <c r="AA8" s="151"/>
      <c r="AB8" s="151"/>
    </row>
    <row r="9" spans="1:28" ht="4.5" customHeight="1">
      <c r="B9" s="44"/>
      <c r="C9" s="40"/>
      <c r="D9" s="149"/>
      <c r="E9" s="47"/>
      <c r="F9" s="47"/>
      <c r="G9" s="47"/>
      <c r="H9" s="47"/>
      <c r="I9" s="47"/>
      <c r="J9" s="47"/>
      <c r="K9" s="47"/>
      <c r="L9" s="47"/>
      <c r="M9" s="47"/>
      <c r="N9" s="47"/>
      <c r="O9" s="47"/>
      <c r="P9" s="47"/>
      <c r="Q9" s="47"/>
      <c r="R9" s="47"/>
      <c r="S9" s="47"/>
      <c r="T9" s="157"/>
      <c r="U9" s="151"/>
      <c r="V9" s="151"/>
      <c r="W9" s="151"/>
      <c r="X9" s="151"/>
      <c r="Y9" s="151"/>
      <c r="Z9" s="151"/>
      <c r="AA9" s="151"/>
      <c r="AB9" s="151"/>
    </row>
    <row r="10" spans="1:28" ht="30.95" customHeight="1">
      <c r="B10" s="44"/>
      <c r="C10" s="40"/>
      <c r="D10" s="149"/>
      <c r="E10" s="47"/>
      <c r="F10" s="37" t="s">
        <v>287</v>
      </c>
      <c r="G10" s="47"/>
      <c r="H10" s="47"/>
      <c r="I10" s="47"/>
      <c r="J10" s="47"/>
      <c r="K10" s="47"/>
      <c r="L10" s="192" t="str">
        <f>IF('Stage 4'!M38&gt;0,'Stage 4'!M38,0)</f>
        <v/>
      </c>
      <c r="M10" s="188"/>
      <c r="N10" s="188"/>
      <c r="O10" s="167" t="s">
        <v>206</v>
      </c>
      <c r="P10" s="167"/>
      <c r="Q10" s="167"/>
      <c r="R10" s="167"/>
      <c r="S10" s="47"/>
      <c r="T10" s="157"/>
      <c r="U10" s="151"/>
      <c r="V10" s="151"/>
      <c r="W10" s="151"/>
      <c r="X10" s="151"/>
      <c r="Y10" s="151"/>
      <c r="Z10" s="151"/>
      <c r="AA10" s="151"/>
      <c r="AB10" s="151"/>
    </row>
    <row r="11" spans="1:28" ht="17.45" customHeight="1" thickBot="1">
      <c r="B11" s="44"/>
      <c r="C11" s="40"/>
      <c r="D11" s="149"/>
      <c r="E11" s="47"/>
      <c r="F11" s="47"/>
      <c r="G11" s="47"/>
      <c r="H11" s="47"/>
      <c r="I11" s="47"/>
      <c r="J11" s="47"/>
      <c r="K11" s="47"/>
      <c r="L11" s="47"/>
      <c r="M11" s="47"/>
      <c r="N11" s="47"/>
      <c r="O11" s="47"/>
      <c r="P11" s="47"/>
      <c r="Q11" s="47"/>
      <c r="R11" s="168"/>
      <c r="S11" s="168"/>
      <c r="T11" s="157"/>
      <c r="U11" s="221"/>
      <c r="V11" s="173"/>
      <c r="W11" s="173"/>
      <c r="X11" s="173"/>
      <c r="Y11" s="173"/>
      <c r="Z11" s="173"/>
      <c r="AA11" s="173"/>
      <c r="AB11" s="173"/>
    </row>
    <row r="12" spans="1:28" ht="6.95" customHeight="1">
      <c r="B12" s="44"/>
      <c r="C12" s="40"/>
      <c r="D12" s="191"/>
      <c r="E12" s="180"/>
      <c r="F12" s="180"/>
      <c r="G12" s="180"/>
      <c r="H12" s="180"/>
      <c r="I12" s="180"/>
      <c r="J12" s="180"/>
      <c r="K12" s="180"/>
      <c r="L12" s="180"/>
      <c r="M12" s="180"/>
      <c r="N12" s="180"/>
      <c r="O12" s="180"/>
      <c r="P12" s="180"/>
      <c r="Q12" s="180"/>
      <c r="R12" s="47"/>
      <c r="S12" s="47"/>
      <c r="T12" s="149"/>
      <c r="U12" s="149"/>
      <c r="V12" s="149"/>
      <c r="W12" s="149"/>
      <c r="X12" s="149"/>
      <c r="Y12" s="149"/>
      <c r="Z12" s="149"/>
      <c r="AA12" s="149"/>
      <c r="AB12" s="222"/>
    </row>
    <row r="13" spans="1:28" ht="15.95" customHeight="1">
      <c r="B13" s="44"/>
      <c r="C13" s="40"/>
      <c r="D13" s="149"/>
      <c r="E13" s="46" t="s">
        <v>167</v>
      </c>
      <c r="F13" s="394" t="s">
        <v>288</v>
      </c>
      <c r="G13" s="394"/>
      <c r="H13" s="394"/>
      <c r="I13" s="394"/>
      <c r="J13" s="394"/>
      <c r="K13" s="394"/>
      <c r="L13" s="47"/>
      <c r="M13" s="47"/>
      <c r="N13" s="47"/>
      <c r="O13" s="47"/>
      <c r="P13" s="47"/>
      <c r="Q13" s="47"/>
      <c r="R13" s="47"/>
      <c r="S13" s="47"/>
      <c r="T13" s="47"/>
      <c r="U13" s="47"/>
      <c r="V13" s="47"/>
      <c r="W13" s="47"/>
      <c r="X13" s="47"/>
      <c r="Y13" s="47"/>
      <c r="Z13" s="47"/>
      <c r="AA13" s="47"/>
      <c r="AB13" s="223"/>
    </row>
    <row r="14" spans="1:28" ht="10.5" customHeight="1">
      <c r="B14" s="44"/>
      <c r="C14" s="40"/>
      <c r="D14" s="149"/>
      <c r="E14" s="47"/>
      <c r="F14" s="47"/>
      <c r="G14" s="47"/>
      <c r="H14" s="47"/>
      <c r="I14" s="47"/>
      <c r="J14" s="47"/>
      <c r="K14" s="47"/>
      <c r="L14" s="47"/>
      <c r="M14" s="47"/>
      <c r="N14" s="47"/>
      <c r="O14" s="47"/>
      <c r="P14" s="179"/>
      <c r="Q14" s="47"/>
      <c r="R14" s="47"/>
      <c r="S14" s="47"/>
      <c r="T14" s="47"/>
      <c r="U14" s="47"/>
      <c r="V14" s="47"/>
      <c r="W14" s="47"/>
      <c r="X14" s="64"/>
      <c r="Y14" s="47"/>
      <c r="Z14" s="47"/>
      <c r="AA14" s="47"/>
      <c r="AB14" s="223"/>
    </row>
    <row r="15" spans="1:28" ht="14.45" customHeight="1">
      <c r="B15" s="44"/>
      <c r="C15" s="40"/>
      <c r="D15" s="149"/>
      <c r="E15" s="64" t="s">
        <v>289</v>
      </c>
      <c r="F15" s="47" t="s">
        <v>290</v>
      </c>
      <c r="G15" s="47"/>
      <c r="H15" s="47"/>
      <c r="I15" s="47"/>
      <c r="J15" s="47"/>
      <c r="K15" s="47"/>
      <c r="L15" s="160" t="s">
        <v>175</v>
      </c>
      <c r="M15" s="47"/>
      <c r="N15" s="47"/>
      <c r="O15" s="47"/>
      <c r="P15" s="179"/>
      <c r="Q15" s="47"/>
      <c r="R15" s="65" t="s">
        <v>291</v>
      </c>
      <c r="S15" s="394" t="s">
        <v>292</v>
      </c>
      <c r="T15" s="394"/>
      <c r="U15" s="394"/>
      <c r="V15" s="394"/>
      <c r="W15" s="394"/>
      <c r="X15" s="160" t="s">
        <v>175</v>
      </c>
      <c r="Y15" s="47"/>
      <c r="Z15" s="47"/>
      <c r="AA15" s="47"/>
      <c r="AB15" s="223"/>
    </row>
    <row r="16" spans="1:28" ht="14.45" customHeight="1">
      <c r="B16" s="44"/>
      <c r="C16" s="40"/>
      <c r="D16" s="149"/>
      <c r="E16" s="47"/>
      <c r="F16" s="47"/>
      <c r="G16" s="47"/>
      <c r="H16" s="47"/>
      <c r="I16" s="47"/>
      <c r="J16" s="47"/>
      <c r="K16" s="47"/>
      <c r="L16" s="47"/>
      <c r="M16" s="47"/>
      <c r="N16" s="47"/>
      <c r="O16" s="47"/>
      <c r="P16" s="179"/>
      <c r="Q16" s="47"/>
      <c r="R16" s="47"/>
      <c r="S16" s="47"/>
      <c r="T16" s="47"/>
      <c r="U16" s="47"/>
      <c r="V16" s="47"/>
      <c r="W16" s="47"/>
      <c r="X16" s="47"/>
      <c r="Y16" s="47"/>
      <c r="Z16" s="47"/>
      <c r="AA16" s="47"/>
      <c r="AB16" s="223"/>
    </row>
    <row r="17" spans="2:56" ht="45" customHeight="1">
      <c r="B17" s="44"/>
      <c r="C17" s="40"/>
      <c r="D17" s="149"/>
      <c r="E17" s="454" t="s">
        <v>293</v>
      </c>
      <c r="F17" s="454"/>
      <c r="G17" s="454"/>
      <c r="H17" s="454"/>
      <c r="I17" s="454"/>
      <c r="J17" s="454"/>
      <c r="K17" s="454"/>
      <c r="L17" s="454"/>
      <c r="M17" s="454"/>
      <c r="N17" s="454"/>
      <c r="O17" s="454"/>
      <c r="P17" s="179"/>
      <c r="Q17" s="47"/>
      <c r="R17" s="47"/>
      <c r="S17" s="454" t="s">
        <v>294</v>
      </c>
      <c r="T17" s="454"/>
      <c r="U17" s="454"/>
      <c r="V17" s="454"/>
      <c r="W17" s="454"/>
      <c r="X17" s="454"/>
      <c r="Y17" s="224"/>
      <c r="Z17" s="224"/>
      <c r="AA17" s="224"/>
      <c r="AB17" s="223"/>
    </row>
    <row r="18" spans="2:56" ht="27" customHeight="1">
      <c r="B18" s="44"/>
      <c r="C18" s="40"/>
      <c r="D18" s="149"/>
      <c r="E18" s="47"/>
      <c r="F18" s="47"/>
      <c r="G18" s="47"/>
      <c r="H18" s="47"/>
      <c r="I18" s="47"/>
      <c r="J18" s="47"/>
      <c r="K18" s="47"/>
      <c r="L18" s="47"/>
      <c r="M18" s="47"/>
      <c r="N18" s="47"/>
      <c r="O18" s="47"/>
      <c r="P18" s="179"/>
      <c r="Q18" s="47"/>
      <c r="R18" s="47"/>
      <c r="S18" s="394" t="s">
        <v>295</v>
      </c>
      <c r="T18" s="394"/>
      <c r="U18" s="394"/>
      <c r="V18" s="394"/>
      <c r="W18" s="394"/>
      <c r="X18" s="394"/>
      <c r="Y18" s="47"/>
      <c r="Z18" s="47"/>
      <c r="AA18" s="47"/>
      <c r="AB18" s="223"/>
    </row>
    <row r="19" spans="2:56" ht="15.95" customHeight="1">
      <c r="B19" s="44"/>
      <c r="C19" s="40"/>
      <c r="D19" s="149"/>
      <c r="E19" s="64"/>
      <c r="F19" s="394" t="s">
        <v>296</v>
      </c>
      <c r="G19" s="394"/>
      <c r="H19" s="394"/>
      <c r="I19" s="394"/>
      <c r="J19" s="394"/>
      <c r="K19" s="394"/>
      <c r="L19" s="103" t="s">
        <v>145</v>
      </c>
      <c r="M19" s="103"/>
      <c r="N19" s="103"/>
      <c r="O19" s="103" t="s">
        <v>146</v>
      </c>
      <c r="P19" s="179"/>
      <c r="Q19" s="47"/>
      <c r="R19" s="47"/>
      <c r="S19" s="148"/>
      <c r="T19" s="148"/>
      <c r="U19" s="148"/>
      <c r="V19" s="148"/>
      <c r="W19" s="148"/>
      <c r="X19" s="148"/>
      <c r="Y19" s="101"/>
      <c r="Z19" s="101"/>
      <c r="AA19" s="101"/>
      <c r="AB19" s="223"/>
    </row>
    <row r="20" spans="2:56" ht="13.5" customHeight="1">
      <c r="B20" s="44"/>
      <c r="C20" s="40"/>
      <c r="D20" s="149"/>
      <c r="E20" s="47"/>
      <c r="F20" s="47"/>
      <c r="G20" s="47"/>
      <c r="H20" s="47"/>
      <c r="I20" s="47"/>
      <c r="J20" s="47"/>
      <c r="K20" s="47"/>
      <c r="L20" s="103"/>
      <c r="M20" s="103"/>
      <c r="N20" s="103"/>
      <c r="O20" s="47"/>
      <c r="P20" s="179"/>
      <c r="Q20" s="47"/>
      <c r="R20" s="47"/>
      <c r="S20" s="394" t="s">
        <v>211</v>
      </c>
      <c r="T20" s="394"/>
      <c r="U20" s="394"/>
      <c r="V20" s="394"/>
      <c r="W20" s="394"/>
      <c r="X20" s="160" t="s">
        <v>212</v>
      </c>
      <c r="Y20" s="47"/>
      <c r="Z20" s="47"/>
      <c r="AA20" s="47"/>
      <c r="AB20" s="223"/>
    </row>
    <row r="21" spans="2:56" ht="54.75" customHeight="1">
      <c r="B21" s="44"/>
      <c r="C21" s="40"/>
      <c r="D21" s="149"/>
      <c r="E21" s="47"/>
      <c r="F21" s="393" t="s">
        <v>297</v>
      </c>
      <c r="G21" s="393"/>
      <c r="H21" s="393"/>
      <c r="I21" s="393"/>
      <c r="J21" s="393"/>
      <c r="K21" s="393"/>
      <c r="L21" s="192" t="e">
        <f>'Stage 2'!K48/'Stage 2'!K38</f>
        <v>#DIV/0!</v>
      </c>
      <c r="M21" s="188"/>
      <c r="N21" s="160" t="s">
        <v>175</v>
      </c>
      <c r="O21" s="167" t="s">
        <v>298</v>
      </c>
      <c r="P21" s="179"/>
      <c r="Q21" s="47"/>
      <c r="R21" s="46"/>
      <c r="S21" s="394" t="s">
        <v>213</v>
      </c>
      <c r="T21" s="394"/>
      <c r="U21" s="394"/>
      <c r="V21" s="394"/>
      <c r="W21" s="394"/>
      <c r="X21" s="178" t="s">
        <v>214</v>
      </c>
      <c r="Y21" s="101"/>
      <c r="Z21" s="101"/>
      <c r="AA21" s="101"/>
      <c r="AB21" s="223"/>
    </row>
    <row r="22" spans="2:56" ht="15.95" customHeight="1">
      <c r="B22" s="44"/>
      <c r="C22" s="40"/>
      <c r="D22" s="149"/>
      <c r="E22" s="47"/>
      <c r="F22" s="105"/>
      <c r="G22" s="105"/>
      <c r="H22" s="105"/>
      <c r="I22" s="105"/>
      <c r="J22" s="105"/>
      <c r="K22" s="105"/>
      <c r="L22" s="188"/>
      <c r="M22" s="188"/>
      <c r="N22" s="188"/>
      <c r="O22" s="167"/>
      <c r="P22" s="179"/>
      <c r="Q22" s="47"/>
      <c r="R22" s="46"/>
      <c r="S22" s="394" t="s">
        <v>215</v>
      </c>
      <c r="T22" s="394"/>
      <c r="U22" s="394"/>
      <c r="V22" s="394"/>
      <c r="W22" s="394"/>
      <c r="X22" s="160" t="s">
        <v>299</v>
      </c>
      <c r="Y22" s="101"/>
      <c r="Z22" s="101"/>
      <c r="AA22" s="101"/>
      <c r="AB22" s="223"/>
    </row>
    <row r="23" spans="2:56" ht="15.95" customHeight="1">
      <c r="B23" s="44"/>
      <c r="C23" s="40"/>
      <c r="D23" s="149"/>
      <c r="E23" s="47"/>
      <c r="F23" s="105"/>
      <c r="G23" s="105"/>
      <c r="H23" s="105"/>
      <c r="I23" s="105"/>
      <c r="J23" s="105"/>
      <c r="K23" s="105"/>
      <c r="L23" s="188"/>
      <c r="M23" s="188"/>
      <c r="N23" s="188"/>
      <c r="O23" s="167"/>
      <c r="P23" s="179"/>
      <c r="Q23" s="47"/>
      <c r="R23" s="46"/>
      <c r="S23" s="394" t="s">
        <v>218</v>
      </c>
      <c r="T23" s="394"/>
      <c r="U23" s="394"/>
      <c r="V23" s="394"/>
      <c r="W23" s="394"/>
      <c r="X23" s="160" t="s">
        <v>300</v>
      </c>
      <c r="Y23" s="101"/>
      <c r="Z23" s="101"/>
      <c r="AA23" s="101"/>
      <c r="AB23" s="223"/>
    </row>
    <row r="24" spans="2:56" ht="20.25" customHeight="1">
      <c r="B24" s="44"/>
      <c r="C24" s="40"/>
      <c r="D24" s="149"/>
      <c r="E24" s="47"/>
      <c r="F24" s="37"/>
      <c r="G24" s="47"/>
      <c r="H24" s="47"/>
      <c r="I24" s="47"/>
      <c r="J24" s="47"/>
      <c r="K24" s="47"/>
      <c r="L24" s="188"/>
      <c r="M24" s="188"/>
      <c r="N24" s="188"/>
      <c r="O24" s="167"/>
      <c r="P24" s="179"/>
      <c r="Q24" s="47"/>
      <c r="R24" s="455"/>
      <c r="S24" s="455"/>
      <c r="T24" s="455"/>
      <c r="U24" s="455"/>
      <c r="V24" s="455"/>
      <c r="W24" s="455"/>
      <c r="X24" s="455"/>
      <c r="Y24" s="455"/>
      <c r="Z24" s="455"/>
      <c r="AA24" s="455"/>
      <c r="AB24" s="456"/>
    </row>
    <row r="25" spans="2:56" ht="24" customHeight="1">
      <c r="B25" s="44"/>
      <c r="C25" s="40"/>
      <c r="D25" s="149"/>
      <c r="E25" s="47"/>
      <c r="F25" s="393" t="s">
        <v>301</v>
      </c>
      <c r="G25" s="393"/>
      <c r="H25" s="393"/>
      <c r="I25" s="393"/>
      <c r="J25" s="393"/>
      <c r="K25" s="393"/>
      <c r="L25" s="103"/>
      <c r="M25" s="103"/>
      <c r="N25" s="103"/>
      <c r="O25" s="167"/>
      <c r="P25" s="179"/>
      <c r="Q25" s="47"/>
      <c r="R25" s="47"/>
      <c r="S25" s="393" t="s">
        <v>302</v>
      </c>
      <c r="T25" s="393"/>
      <c r="U25" s="393"/>
      <c r="V25" s="393"/>
      <c r="W25" s="393"/>
      <c r="X25" s="47"/>
      <c r="Y25" s="198" t="s">
        <v>221</v>
      </c>
      <c r="Z25" s="198"/>
      <c r="AA25" s="198"/>
      <c r="AB25" s="223"/>
      <c r="AO25" s="94"/>
    </row>
    <row r="26" spans="2:56" ht="15.95" customHeight="1">
      <c r="B26" s="44"/>
      <c r="C26" s="40"/>
      <c r="D26" s="149"/>
      <c r="E26" s="437" t="str">
        <f>'Stage 2'!F19</f>
        <v>Residential urban</v>
      </c>
      <c r="F26" s="437"/>
      <c r="G26" s="437"/>
      <c r="H26" s="437"/>
      <c r="I26" s="437"/>
      <c r="J26" s="103"/>
      <c r="K26" s="225" t="str">
        <f>IF('Stage 2'!$K19&gt;0,SUM('Stage 2'!$O19,'Stage 2'!$P19,'Stage 2'!$Q19)/'Stage 2'!$K19,"")</f>
        <v/>
      </c>
      <c r="L26" s="310"/>
      <c r="M26" s="188"/>
      <c r="N26" s="160" t="s">
        <v>175</v>
      </c>
      <c r="O26" s="161" t="s">
        <v>298</v>
      </c>
      <c r="P26" s="179"/>
      <c r="Q26" s="47"/>
      <c r="R26" s="47"/>
      <c r="S26" s="437" t="str">
        <f t="shared" ref="S26:S37" si="0">E26</f>
        <v>Residential urban</v>
      </c>
      <c r="T26" s="437"/>
      <c r="U26" s="437"/>
      <c r="V26" s="437"/>
      <c r="W26" s="437"/>
      <c r="X26" s="160" t="s">
        <v>175</v>
      </c>
      <c r="Y26" s="458" t="e">
        <f>IF($X$15="Yes",IF($X$26="Yes",IF($X$22="650-675",'Data Tables'!Y42,IF($X$22="675-700",'Data Tables'!Y43,IF($X$22="700-750",'Data Tables'!Y44,IF($X$22="750-800",'Data Tables'!Y45,IF($X$22="800-850",'Data Tables'!Y46,IF($X$22="850-900",'Data Tables'!Y47,IF($X$22="900-950",'Data Tables'!Y48,IF($X$22="950-1000",'Data Tables'!Y49,IF($X$22="1000-1100",'Data Tables'!Y50,IF($X$22="1100-1200",'Data Tables'!Y51,'Data Tables'!Y52)))))))))),0),"")*(1-(X44/100))</f>
        <v>#VALUE!</v>
      </c>
      <c r="Z26" s="458"/>
      <c r="AA26" s="458"/>
      <c r="AB26" s="223"/>
      <c r="AN26" s="94"/>
      <c r="AP26" s="94"/>
    </row>
    <row r="27" spans="2:56" ht="15.95" customHeight="1">
      <c r="B27" s="44"/>
      <c r="C27" s="40"/>
      <c r="D27" s="149"/>
      <c r="E27" s="437" t="str">
        <f>'Stage 2'!F21</f>
        <v>Commercial / Industrial</v>
      </c>
      <c r="F27" s="437"/>
      <c r="G27" s="437"/>
      <c r="H27" s="437"/>
      <c r="I27" s="437"/>
      <c r="J27" s="103"/>
      <c r="K27" s="225" t="str">
        <f>IF('Stage 2'!$K21&gt;0,SUM('Stage 2'!$O21,'Stage 2'!$P21,'Stage 2'!$Q21)/'Stage 2'!$K21,"")</f>
        <v/>
      </c>
      <c r="L27" s="310"/>
      <c r="M27" s="188"/>
      <c r="N27" s="160" t="s">
        <v>175</v>
      </c>
      <c r="O27" s="161" t="s">
        <v>298</v>
      </c>
      <c r="P27" s="179"/>
      <c r="Q27" s="47"/>
      <c r="R27" s="47"/>
      <c r="S27" s="437" t="str">
        <f t="shared" si="0"/>
        <v>Commercial / Industrial</v>
      </c>
      <c r="T27" s="437"/>
      <c r="U27" s="437"/>
      <c r="V27" s="437"/>
      <c r="W27" s="437"/>
      <c r="X27" s="160" t="s">
        <v>175</v>
      </c>
      <c r="Y27" s="458" t="e">
        <f>IF($X$15="Yes",IF($X$27="Yes",IF($X$22="650-675",'Data Tables'!AB42,IF($X$22="675-700",'Data Tables'!AB43,IF($X$22="700-750",'Data Tables'!AB44,IF($X$22="750-800",'Data Tables'!AB45,IF($X$22="800-850",'Data Tables'!AB46,IF($X$22="850-900",'Data Tables'!AB47,IF($X$22="900-950",'Data Tables'!AB48,IF($X$22="950-1000",'Data Tables'!AB49,IF($X$22="1000-1100",'Data Tables'!AB50,IF($X$22="1100-1200",'Data Tables'!AB51,'Data Tables'!AB52)))))))))),0),"")*(1-(X44/100))</f>
        <v>#VALUE!</v>
      </c>
      <c r="Z27" s="458"/>
      <c r="AA27" s="458"/>
      <c r="AB27" s="223"/>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row>
    <row r="28" spans="2:56" ht="15.95" customHeight="1">
      <c r="B28" s="44"/>
      <c r="C28" s="40"/>
      <c r="D28" s="149"/>
      <c r="E28" s="437" t="str">
        <f>'Stage 2'!F22</f>
        <v>Urban open space</v>
      </c>
      <c r="F28" s="437"/>
      <c r="G28" s="437"/>
      <c r="H28" s="437"/>
      <c r="I28" s="437"/>
      <c r="J28" s="103"/>
      <c r="K28" s="225" t="str">
        <f>IF('Stage 2'!$K22&gt;0,SUM('Stage 2'!$O22,'Stage 2'!$P22,'Stage 2'!$Q22)/'Stage 2'!$K22,"")</f>
        <v/>
      </c>
      <c r="L28" s="310"/>
      <c r="M28" s="188"/>
      <c r="N28" s="160" t="s">
        <v>175</v>
      </c>
      <c r="O28" s="161" t="s">
        <v>298</v>
      </c>
      <c r="P28" s="179"/>
      <c r="Q28" s="47"/>
      <c r="R28" s="47"/>
      <c r="S28" s="437" t="str">
        <f t="shared" si="0"/>
        <v>Urban open space</v>
      </c>
      <c r="T28" s="437"/>
      <c r="U28" s="437"/>
      <c r="V28" s="437"/>
      <c r="W28" s="437"/>
      <c r="X28" s="160" t="s">
        <v>175</v>
      </c>
      <c r="Y28" s="458" t="e">
        <f>IF($X$15="Yes",IF($X$28="Yes",IF($X$22="650-675",'Data Tables'!AC42,IF($X$22="675-700",'Data Tables'!AC43,IF($X$22="700-750",'Data Tables'!AC44,IF($X$22="750-800",'Data Tables'!AC45,IF($X$22="800-850",'Data Tables'!AC46,IF($X$22="850-900",'Data Tables'!AC47,IF($X$22="900-950",'Data Tables'!AC48,IF($X$22="950-1000",'Data Tables'!AC49,IF($X$22="1000-1100",'Data Tables'!AC50,IF($X$22="1100-1200",'Data Tables'!AC51,'Data Tables'!AC52)))))))))),0),"")*(1-(X44/100))</f>
        <v>#VALUE!</v>
      </c>
      <c r="Z28" s="458"/>
      <c r="AA28" s="458"/>
      <c r="AB28" s="223"/>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row>
    <row r="29" spans="2:56" ht="15.95" customHeight="1">
      <c r="B29" s="44"/>
      <c r="C29" s="40"/>
      <c r="D29" s="149"/>
      <c r="E29" s="437" t="str">
        <f>'Stage 2'!F23</f>
        <v>Dairy</v>
      </c>
      <c r="F29" s="437"/>
      <c r="G29" s="437"/>
      <c r="H29" s="437"/>
      <c r="I29" s="437"/>
      <c r="J29" s="103"/>
      <c r="K29" s="225" t="str">
        <f>IF('Stage 2'!$K23&gt;0,SUM('Stage 2'!$O23,'Stage 2'!$P23,'Stage 2'!$Q23)/'Stage 2'!$K23,"")</f>
        <v/>
      </c>
      <c r="L29" s="310"/>
      <c r="M29" s="198"/>
      <c r="N29" s="160" t="s">
        <v>175</v>
      </c>
      <c r="O29" s="161" t="s">
        <v>298</v>
      </c>
      <c r="P29" s="179"/>
      <c r="Q29" s="47"/>
      <c r="R29" s="47"/>
      <c r="S29" s="437" t="str">
        <f t="shared" si="0"/>
        <v>Dairy</v>
      </c>
      <c r="T29" s="437"/>
      <c r="U29" s="437"/>
      <c r="V29" s="437"/>
      <c r="W29" s="437"/>
      <c r="X29" s="160" t="s">
        <v>175</v>
      </c>
      <c r="Y29" s="202" t="str">
        <f>IF($X$15="Yes",IF($X29="Yes",IF($X$20="Tone",((IF($X$21="Freely draining",IF($X$22="650-675",IF($X$23="Yes",'Data Tables'!O5,'Data Tables'!P5),IF($X$22="675-700",IF($X$23="Yes",'Data Tables'!O5,'Data Tables'!P5),IF($X$22="700-750",IF($X$23="Yes",'Data Tables'!U5,'Data Tables'!V5),IF($X$22="750-800",IF($X$23="Yes",'Data Tables'!U5,'Data Tables'!V5),IF($X$22="800-850",IF($X$23="Yes",'Data Tables'!U5,'Data Tables'!V5),IF($X$22="850-900",IF($X$23="Yes",'Data Tables'!U5,'Data Tables'!V5),IF($X$22="900-950",IF($X$23="Yes",'Data Tables'!AA5,'Data Tables'!AB5),IF($X$22="950-1000",IF($X$23="Yes",'Data Tables'!AA5,'Data Tables'!AB5),IF($X$22="1000-1100",IF($X$23="Yes",'Data Tables'!AA5,'Data Tables'!AB5),IF($X$22="1100-1200",IF($X$23="Yes",'Data Tables'!AA5,'Data Tables'!AB5),IF($X$23="Yes",'Data Tables'!AG5,'Data Tables'!AH5))))))))))),IF($X$21="Impermeable - drained for arable",IF($X$22="650-675",IF($X$23="Yes",'Data Tables'!Q5,'Data Tables'!R5),IF($X$22="675-700",IF($X$23="Yes",'Data Tables'!Q5,'Data Tables'!R5),IF($X$22="700-750",IF($X$23="Yes",'Data Tables'!W5,'Data Tables'!X5),IF($X$22="750-800",IF($X$23="Yes",'Data Tables'!W5,'Data Tables'!X5),IF($X$22="800-850",IF($X$23="Yes",'Data Tables'!W5,'Data Tables'!X5),IF($X$22="850-900",IF($X$23="Yes",'Data Tables'!W5,'Data Tables'!X5),IF($X$22="900-950",IF($X$23="Yes",'Data Tables'!AC5,'Data Tables'!AD5),IF($X$22="950-1000",IF($X$23="Yes",'Data Tables'!AC5,'Data Tables'!AD5),IF($X$22="1000-1100",IF($X$23="Yes",'Data Tables'!AC5,'Data Tables'!AD5),IF($X$22="1100-1200",IF($X$23="Yes",'Data Tables'!AC5,'Data Tables'!AD5),IF($X$23="Yes",'Data Tables'!AI5,'Data Tables'!AJ5))))))))))),IF($X$22="650-675",IF($X$23="Yes",'Data Tables'!S5,'Data Tables'!T5),IF($X$22="675-700",IF($X$23="Yes",'Data Tables'!S5,'Data Tables'!T5),IF($X$22="700-750",IF($X$23="Yes",'Data Tables'!Y5,'Data Tables'!Z5),IF($X$22="750-800",IF($X$23="Yes",'Data Tables'!Y5,'Data Tables'!Z5),IF($X$22="800-850",IF($X$23="Yes",'Data Tables'!Y5,'Data Tables'!Z5),IF($X$22="850-900",IF($X$23="Yes",'Data Tables'!Y5,'Data Tables'!Z5),IF($X$22="900-950",IF($X$23="Yes",'Data Tables'!AE5,'Data Tables'!AF5),IF($X$22="950-1000",IF($X$23="Yes",'Data Tables'!AE5,'Data Tables'!AF5),IF($X$22="1000-1100",IF($X$23="Yes",'Data Tables'!AE5,'Data Tables'!AF5),IF($X$22="1100-1200",IF($X$23="Yes",'Data Tables'!AE5,'Data Tables'!AF5),IF($X$23="Yes",'Data Tables'!AK5,'Data Tables'!AL5))))))))))))))),""),""),"")</f>
        <v/>
      </c>
      <c r="Z29" s="202" t="str">
        <f>IF($X$15="Yes",IF($X29="Yes",IF($X$20="Parrett",((IF($X$21="Freely draining",IF($X$22="650-675",IF($X$23="Yes",'Data Tables'!O17,'Data Tables'!P17),IF($X$22="675-700",IF($X$23="Yes",'Data Tables'!O17,'Data Tables'!P17),IF($X$22="700-750",IF($X$23="Yes",'Data Tables'!U17,'Data Tables'!V17),IF($X$22="750-800",IF($X$23="Yes",'Data Tables'!U17,'Data Tables'!V17),IF($X$22="800-850",IF($X$23="Yes",'Data Tables'!U17,'Data Tables'!V17),IF($X$22="850-900",IF($X$23="Yes",'Data Tables'!U17,'Data Tables'!V17),IF($X$22="900-950",IF($X$23="Yes",'Data Tables'!AA17,'Data Tables'!AB17),IF($X$22="950-1000",IF($X$23="Yes",'Data Tables'!AA17,'Data Tables'!AB17),IF($X$22="1000-1100",IF($X$23="Yes",'Data Tables'!AA17,'Data Tables'!AB17),IF($X$22="1100-1200",IF($X$23="Yes",'Data Tables'!AA17,'Data Tables'!AB17),IF($X$23="Yes",'Data Tables'!AG17,'Data Tables'!AH17))))))))))),IF($X$21="Impermeable - drained for arable",IF($X$22="650-675",IF($X$23="Yes",'Data Tables'!Q17,'Data Tables'!R17),IF($X$22="675-700",IF($X$23="Yes",'Data Tables'!Q17,'Data Tables'!R17),IF($X$22="700-750",IF($X$23="Yes",'Data Tables'!W17,'Data Tables'!X17),IF($X$22="750-800",IF($X$23="Yes",'Data Tables'!W17,'Data Tables'!X17),IF($X$22="800-850",IF($X$23="Yes",'Data Tables'!W17,'Data Tables'!X17),IF($X$22="850-900",IF($X$23="Yes",'Data Tables'!W17,'Data Tables'!X17),IF($X$22="900-950",IF($X$23="Yes",'Data Tables'!AC17,'Data Tables'!AD17),IF($X$22="950-1000",IF($X$23="Yes",'Data Tables'!AC17,'Data Tables'!AD17),IF($X$22="1000-1100",IF($X$23="Yes",'Data Tables'!AC17,'Data Tables'!AD17),IF($X$22="1100-1200",IF($X$23="Yes",'Data Tables'!AC17,'Data Tables'!AD17),IF($X$23="Yes",'Data Tables'!AI17,'Data Tables'!AJ17))))))))))),IF($X$22="650-675",IF($X$23="Yes",'Data Tables'!S17,'Data Tables'!T17),IF($X$22="675-700",IF($X$23="Yes",'Data Tables'!S17,'Data Tables'!T17),IF($X$22="700-750",IF($X$23="Yes",'Data Tables'!Y17,'Data Tables'!Z17),IF($X$22="750-800",IF($X$23="Yes",'Data Tables'!Y17,'Data Tables'!Z17),IF($X$22="800-850",IF($X$23="Yes",'Data Tables'!Y17,'Data Tables'!Z17),IF($X$22="850-900",IF($X$23="Yes",'Data Tables'!Y17,'Data Tables'!Z17),IF($X$22="900-950",IF($X$23="Yes",'Data Tables'!AE17,'Data Tables'!AF17),IF($X$22="950-1000",IF($X$23="Yes",'Data Tables'!AE17,'Data Tables'!AF17),IF($X$22="1000-1100",IF($X$23="Yes",'Data Tables'!AE17,'Data Tables'!AF17),IF($X$22="1100-1200",IF($X$23="Yes",'Data Tables'!AE17,'Data Tables'!AF17),IF($X$23="Yes",'Data Tables'!AK17,'Data Tables'!AL17))))))))))))))),""),""),"")</f>
        <v/>
      </c>
      <c r="AA29" s="202" t="str">
        <f>IF($X$15="Yes",IF($X29="Yes",IF($X$20="Brue &amp; Axe",IF($X$21="Freely draining",IF($X$22="650-675",IF($X$23="Yes",'Data Tables'!O29,'Data Tables'!P29),IF($X$22="675-700",IF($X$23="Yes",'Data Tables'!O29,'Data Tables'!P29),IF($X$22="700-750",IF($X$23="Yes",'Data Tables'!U29,'Data Tables'!V29),IF($X$22="750-800",IF($X$23="Yes",'Data Tables'!U29,'Data Tables'!V29),IF($X$22="800-850",IF($X$23="Yes",'Data Tables'!U29,'Data Tables'!V29),IF($X$22="850-900",IF($X$23="Yes",'Data Tables'!U29,'Data Tables'!V29),IF($X$22="900-950",IF($X$23="Yes",'Data Tables'!AA29,'Data Tables'!AB29),IF($X$22="950-1000",IF($X$23="Yes",'Data Tables'!AA29,'Data Tables'!AB29),IF($X$22="1000-1100",IF($X$23="Yes",'Data Tables'!AA29,'Data Tables'!AB29),IF($X$22="1100-1200",IF($X$23="Yes",'Data Tables'!AA29,'Data Tables'!AB29),IF($X$23="Yes",'Data Tables'!AG29,'Data Tables'!AH29))))))))))),IF($X$21="Impermeable - drained for arable",IF($X$22="650-675",IF($X$23="Yes",'Data Tables'!Q29,'Data Tables'!R29),IF($X$22="675-700",IF($X$23="Yes",'Data Tables'!Q29,'Data Tables'!R29),IF($X$22="700-750",IF($X$23="Yes",'Data Tables'!W29,'Data Tables'!X29),IF($X$22="750-800",IF($X$23="Yes",'Data Tables'!W29,'Data Tables'!X29),IF($X$22="800-850",IF($X$23="Yes",'Data Tables'!W29,'Data Tables'!X29),IF($X$22="850-900",IF($X$23="Yes",'Data Tables'!W29,'Data Tables'!X29),IF($X$22="900-950",IF($X$23="Yes",'Data Tables'!AC29,'Data Tables'!AD29),IF($X$22="950-1000",IF($X$23="Yes",'Data Tables'!AC29,'Data Tables'!AD29),IF($X$22="1000-1100",IF($X$23="Yes",'Data Tables'!AC29,'Data Tables'!AD29),IF($X$22="1100-1200",IF($X$23="Yes",'Data Tables'!AC29,'Data Tables'!AD29),IF($X$23="Yes",'Data Tables'!AI29,'Data Tables'!AJ29))))))))))),IF($X$22="650-675",IF($X$23="Yes",'Data Tables'!S29,'Data Tables'!T29),IF($X$22="675-700",IF($X$23="Yes",'Data Tables'!S29,'Data Tables'!T29),IF($X$22="700-750",IF($X$23="Yes",'Data Tables'!Y29,'Data Tables'!Z29),IF($X$22="750-800",IF($X$23="Yes",'Data Tables'!Y29,'Data Tables'!Z29),IF($X$22="800-850",IF($X$23="Yes",'Data Tables'!Y29,'Data Tables'!Z29),IF($X$22="850-900",IF($X$23="Yes",'Data Tables'!Y29,'Data Tables'!Z29),IF($X$22="900-950",IF($X$23="Yes",'Data Tables'!AE29,'Data Tables'!AF29),IF($X$22="950-1000",IF($X$23="Yes",'Data Tables'!AE29,'Data Tables'!AF29),IF($X$22="1000-1100",IF($X$23="Yes",'Data Tables'!AE29,'Data Tables'!AF29),IF($X$22="1100-1200",IF($X$23="Yes",'Data Tables'!AE29,'Data Tables'!AF29),IF($X$23="Yes",'Data Tables'!AK29,'Data Tables'!AL29))))))))))))),""),""),"")</f>
        <v/>
      </c>
      <c r="AB29" s="223"/>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row>
    <row r="30" spans="2:56" ht="15.95" customHeight="1">
      <c r="B30" s="44"/>
      <c r="C30" s="40"/>
      <c r="D30" s="149"/>
      <c r="E30" s="437" t="str">
        <f>'Stage 2'!F24</f>
        <v>Lowland grazing</v>
      </c>
      <c r="F30" s="437"/>
      <c r="G30" s="437"/>
      <c r="H30" s="437"/>
      <c r="I30" s="437"/>
      <c r="J30" s="103"/>
      <c r="K30" s="225" t="str">
        <f>IF('Stage 2'!$K24&gt;0,SUM('Stage 2'!$O24,'Stage 2'!$P24,'Stage 2'!$Q24)/'Stage 2'!$K24,"")</f>
        <v/>
      </c>
      <c r="L30" s="310"/>
      <c r="M30" s="152"/>
      <c r="N30" s="160" t="s">
        <v>175</v>
      </c>
      <c r="O30" s="161" t="s">
        <v>298</v>
      </c>
      <c r="P30" s="179"/>
      <c r="Q30" s="47"/>
      <c r="R30" s="47"/>
      <c r="S30" s="437" t="str">
        <f t="shared" si="0"/>
        <v>Lowland grazing</v>
      </c>
      <c r="T30" s="437"/>
      <c r="U30" s="437"/>
      <c r="V30" s="437"/>
      <c r="W30" s="437"/>
      <c r="X30" s="160" t="s">
        <v>175</v>
      </c>
      <c r="Y30" s="202" t="str">
        <f>IF($X$15="Yes",IF($X30="Yes",IF($X$20="Tone",((IF($X$21="Freely draining",IF($X$22="650-675",IF($X$23="Yes",'Data Tables'!O6,'Data Tables'!P6),IF($X$22="675-700",IF($X$23="Yes",'Data Tables'!O6,'Data Tables'!P6),IF($X$22="700-750",IF($X$23="Yes",'Data Tables'!U6,'Data Tables'!V6),IF($X$22="750-800",IF($X$23="Yes",'Data Tables'!U6,'Data Tables'!V6),IF($X$22="800-850",IF($X$23="Yes",'Data Tables'!U6,'Data Tables'!V6),IF($X$22="850-900",IF($X$23="Yes",'Data Tables'!U6,'Data Tables'!V6),IF($X$22="900-950",IF($X$23="Yes",'Data Tables'!AA6,'Data Tables'!AB6),IF($X$22="950-1000",IF($X$23="Yes",'Data Tables'!AA6,'Data Tables'!AB6),IF($X$22="1000-1100",IF($X$23="Yes",'Data Tables'!AA6,'Data Tables'!AB6),IF($X$22="1100-1200",IF($X$23="Yes",'Data Tables'!AA6,'Data Tables'!AB6),IF($X$23="Yes",'Data Tables'!AG6,'Data Tables'!AH6))))))))))),IF($X$21="Impermeable - drained for arable",IF($X$22="650-675",IF($X$23="Yes",'Data Tables'!Q6,'Data Tables'!R6),IF($X$22="675-700",IF($X$23="Yes",'Data Tables'!Q6,'Data Tables'!R6),IF($X$22="700-750",IF($X$23="Yes",'Data Tables'!W6,'Data Tables'!X6),IF($X$22="750-800",IF($X$23="Yes",'Data Tables'!W6,'Data Tables'!X6),IF($X$22="800-850",IF($X$23="Yes",'Data Tables'!W6,'Data Tables'!X6),IF($X$22="850-900",IF($X$23="Yes",'Data Tables'!W6,'Data Tables'!X6),IF($X$22="900-950",IF($X$23="Yes",'Data Tables'!AC6,'Data Tables'!AD6),IF($X$22="950-1000",IF($X$23="Yes",'Data Tables'!AC6,'Data Tables'!AD6),IF($X$22="1000-1100",IF($X$23="Yes",'Data Tables'!AC6,'Data Tables'!AD6),IF($X$22="1100-1200",IF($X$23="Yes",'Data Tables'!AC6,'Data Tables'!AD6),IF($X$23="Yes",'Data Tables'!AI6,'Data Tables'!AJ6))))))))))),IF($X$22="650-675",IF($X$23="Yes",'Data Tables'!S6,'Data Tables'!T6),IF($X$22="675-700",IF($X$23="Yes",'Data Tables'!S6,'Data Tables'!T6),IF($X$22="700-750",IF($X$23="Yes",'Data Tables'!Y6,'Data Tables'!Z6),IF($X$22="750-800",IF($X$23="Yes",'Data Tables'!Y6,'Data Tables'!Z6),IF($X$22="800-850",IF($X$23="Yes",'Data Tables'!Y6,'Data Tables'!Z6),IF($X$22="850-900",IF($X$23="Yes",'Data Tables'!Y6,'Data Tables'!Z6),IF($X$22="900-950",IF($X$23="Yes",'Data Tables'!AE6,'Data Tables'!AF6),IF($X$22="950-1000",IF($X$23="Yes",'Data Tables'!AE6,'Data Tables'!AF6),IF($X$22="1000-1100",IF($X$23="Yes",'Data Tables'!AE6,'Data Tables'!AF6),IF($X$22="1100-1200",IF($X$23="Yes",'Data Tables'!AE6,'Data Tables'!AF6),IF($X$23="Yes",'Data Tables'!AK6,'Data Tables'!AL6))))))))))))))),""),0),"")</f>
        <v/>
      </c>
      <c r="Z30" s="202" t="str">
        <f>IF($X$15="Yes",IF($X30="Yes",IF($X$20="Parrett",((IF($X$21="Freely draining",IF($X$22="650-675",IF($X$23="Yes",'Data Tables'!O18,'Data Tables'!P18),IF($X$22="675-700",IF($X$23="Yes",'Data Tables'!O18,'Data Tables'!P18),IF($X$22="700-750",IF($X$23="Yes",'Data Tables'!U18,'Data Tables'!V18),IF($X$22="750-800",IF($X$23="Yes",'Data Tables'!U18,'Data Tables'!V18),IF($X$22="800-850",IF($X$23="Yes",'Data Tables'!U18,'Data Tables'!V18),IF($X$22="850-900",IF($X$23="Yes",'Data Tables'!U18,'Data Tables'!V18),IF($X$22="900-950",IF($X$23="Yes",'Data Tables'!AA18,'Data Tables'!AB18),IF($X$22="950-1000",IF($X$23="Yes",'Data Tables'!AA18,'Data Tables'!AB18),IF($X$22="1000-1100",IF($X$23="Yes",'Data Tables'!AA18,'Data Tables'!AB18),IF($X$22="1100-1200",IF($X$23="Yes",'Data Tables'!AA18,'Data Tables'!AB18),IF($X$23="Yes",'Data Tables'!AG18,'Data Tables'!AH18))))))))))),IF($X$21="Impermeable - drained for arable",IF($X$22="650-675",IF($X$23="Yes",'Data Tables'!Q18,'Data Tables'!R18),IF($X$22="675-700",IF($X$23="Yes",'Data Tables'!Q18,'Data Tables'!R18),IF($X$22="700-750",IF($X$23="Yes",'Data Tables'!W18,'Data Tables'!X18),IF($X$22="750-800",IF($X$23="Yes",'Data Tables'!W18,'Data Tables'!X18),IF($X$22="800-850",IF($X$23="Yes",'Data Tables'!W18,'Data Tables'!X18),IF($X$22="850-900",IF($X$23="Yes",'Data Tables'!W18,'Data Tables'!X18),IF($X$22="900-950",IF($X$23="Yes",'Data Tables'!AC18,'Data Tables'!AD18),IF($X$22="950-1000",IF($X$23="Yes",'Data Tables'!AC18,'Data Tables'!AD18),IF($X$22="1000-1100",IF($X$23="Yes",'Data Tables'!AC18,'Data Tables'!AD18),IF($X$22="1100-1200",IF($X$23="Yes",'Data Tables'!AC18,'Data Tables'!AD18),IF($X$23="Yes",'Data Tables'!AI18,'Data Tables'!AJ18))))))))))),IF($X$22="650-675",IF($X$23="Yes",'Data Tables'!S18,'Data Tables'!T18),IF($X$22="675-700",IF($X$23="Yes",'Data Tables'!S18,'Data Tables'!T18),IF($X$22="700-750",IF($X$23="Yes",'Data Tables'!Y18,'Data Tables'!Z18),IF($X$22="750-800",IF($X$23="Yes",'Data Tables'!Y18,'Data Tables'!Z18),IF($X$22="800-850",IF($X$23="Yes",'Data Tables'!Y18,'Data Tables'!Z18),IF($X$22="850-900",IF($X$23="Yes",'Data Tables'!Y18,'Data Tables'!Z18),IF($X$22="900-950",IF($X$23="Yes",'Data Tables'!AE18,'Data Tables'!AF18),IF($X$22="950-1000",IF($X$23="Yes",'Data Tables'!AE18,'Data Tables'!AF18),IF($X$22="1000-1100",IF($X$23="Yes",'Data Tables'!AE18,'Data Tables'!AF18),IF($X$22="1100-1200",IF($X$23="Yes",'Data Tables'!AE18,'Data Tables'!AF18),IF($X$23="Yes",'Data Tables'!AK18,'Data Tables'!AL18))))))))))))))),""),""),"")</f>
        <v/>
      </c>
      <c r="AA30" s="202" t="str">
        <f>IF($X$15="Yes",IF($X30="Yes",IF($X$20="Brue &amp; Axe",IF($X$21="Freely draining",IF($X$22="650-675",IF($X$23="Yes",'Data Tables'!O30,'Data Tables'!P30),IF($X$22="675-700",IF($X$23="Yes",'Data Tables'!O30,'Data Tables'!P30),IF($X$22="700-750",IF($X$23="Yes",'Data Tables'!U30,'Data Tables'!V30),IF($X$22="750-800",IF($X$23="Yes",'Data Tables'!U30,'Data Tables'!V30),IF($X$22="800-850",IF($X$23="Yes",'Data Tables'!U30,'Data Tables'!V30),IF($X$22="850-900",IF($X$23="Yes",'Data Tables'!U30,'Data Tables'!V30),IF($X$22="900-950",IF($X$23="Yes",'Data Tables'!AA30,'Data Tables'!AB30),IF($X$22="950-1000",IF($X$23="Yes",'Data Tables'!AA30,'Data Tables'!AB30),IF($X$22="1000-1100",IF($X$23="Yes",'Data Tables'!AA30,'Data Tables'!AB30),IF($X$22="1100-1200",IF($X$23="Yes",'Data Tables'!AA30,'Data Tables'!AB30),IF($X$23="Yes",'Data Tables'!AG30,'Data Tables'!AH30))))))))))),IF($X$21="Impermeable - drained for arable",IF($X$22="650-675",IF($X$23="Yes",'Data Tables'!Q30,'Data Tables'!R30),IF($X$22="675-700",IF($X$23="Yes",'Data Tables'!Q30,'Data Tables'!R30),IF($X$22="700-750",IF($X$23="Yes",'Data Tables'!W30,'Data Tables'!X30),IF($X$22="750-800",IF($X$23="Yes",'Data Tables'!W30,'Data Tables'!X30),IF($X$22="800-850",IF($X$23="Yes",'Data Tables'!W30,'Data Tables'!X30),IF($X$22="850-900",IF($X$23="Yes",'Data Tables'!W30,'Data Tables'!X30),IF($X$22="900-950",IF($X$23="Yes",'Data Tables'!AC30,'Data Tables'!AD30),IF($X$22="950-1000",IF($X$23="Yes",'Data Tables'!AC30,'Data Tables'!AD30),IF($X$22="1000-1100",IF($X$23="Yes",'Data Tables'!AC30,'Data Tables'!AD30),IF($X$22="1100-1200",IF($X$23="Yes",'Data Tables'!AC30,'Data Tables'!AD30),IF($X$23="Yes",'Data Tables'!AI30,'Data Tables'!AJ30))))))))))),IF($X$22="650-675",IF($X$23="Yes",'Data Tables'!S30,'Data Tables'!T30),IF($X$22="675-700",IF($X$23="Yes",'Data Tables'!S30,'Data Tables'!T30),IF($X$22="700-750",IF($X$23="Yes",'Data Tables'!Y30,'Data Tables'!Z30),IF($X$22="750-800",IF($X$23="Yes",'Data Tables'!Y30,'Data Tables'!Z30),IF($X$22="800-850",IF($X$23="Yes",'Data Tables'!Y30,'Data Tables'!Z30),IF($X$22="850-900",IF($X$23="Yes",'Data Tables'!Y30,'Data Tables'!Z30),IF($X$22="900-950",IF($X$23="Yes",'Data Tables'!AE30,'Data Tables'!AF30),IF($X$22="950-1000",IF($X$23="Yes",'Data Tables'!AE30,'Data Tables'!AF30),IF($X$22="1000-1100",IF($X$23="Yes",'Data Tables'!AE30,'Data Tables'!AF30),IF($X$22="1100-1200",IF($X$23="Yes",'Data Tables'!AE30,'Data Tables'!AF30),IF($X$23="Yes",'Data Tables'!AK30,'Data Tables'!AL30))))))))))))),""),""),"")</f>
        <v/>
      </c>
      <c r="AB30" s="223"/>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row>
    <row r="31" spans="2:56" ht="15.95" customHeight="1">
      <c r="B31" s="44"/>
      <c r="C31" s="40"/>
      <c r="D31" s="149"/>
      <c r="E31" s="437" t="str">
        <f>'Stage 2'!F25</f>
        <v>Mixed agriculture</v>
      </c>
      <c r="F31" s="437"/>
      <c r="G31" s="437"/>
      <c r="H31" s="437"/>
      <c r="I31" s="437"/>
      <c r="J31" s="103"/>
      <c r="K31" s="225" t="str">
        <f>IF('Stage 2'!$K25&gt;0,SUM('Stage 2'!$O25,'Stage 2'!$P25,'Stage 2'!$Q25)/'Stage 2'!$K25,"")</f>
        <v/>
      </c>
      <c r="L31" s="310"/>
      <c r="M31" s="152"/>
      <c r="N31" s="160" t="s">
        <v>175</v>
      </c>
      <c r="O31" s="161" t="s">
        <v>298</v>
      </c>
      <c r="P31" s="179"/>
      <c r="Q31" s="47"/>
      <c r="R31" s="47"/>
      <c r="S31" s="437" t="str">
        <f t="shared" si="0"/>
        <v>Mixed agriculture</v>
      </c>
      <c r="T31" s="437"/>
      <c r="U31" s="437"/>
      <c r="V31" s="437"/>
      <c r="W31" s="437"/>
      <c r="X31" s="160" t="s">
        <v>175</v>
      </c>
      <c r="Y31" s="202" t="str">
        <f>IF($X$15="Yes",IF($X31="Yes",IF($X$20="Tone",((IF($X$21="Freely draining",IF($X$22="650-675",IF($X$23="Yes",'Data Tables'!O7,'Data Tables'!P7),IF($X$22="675-700",IF($X$23="Yes",'Data Tables'!O7,'Data Tables'!P7),IF($X$22="700-750",IF($X$23="Yes",'Data Tables'!U7,'Data Tables'!V7),IF($X$22="750-800",IF($X$23="Yes",'Data Tables'!U7,'Data Tables'!V7),IF($X$22="800-850",IF($X$23="Yes",'Data Tables'!U7,'Data Tables'!V7),IF($X$22="850-900",IF($X$23="Yes",'Data Tables'!U7,'Data Tables'!V7),IF($X$22="900-950",IF($X$23="Yes",'Data Tables'!AA7,'Data Tables'!AB7),IF($X$22="950-1000",IF($X$23="Yes",'Data Tables'!AA7,'Data Tables'!AB7),IF($X$22="1000-1100",IF($X$23="Yes",'Data Tables'!AA7,'Data Tables'!AB7),IF($X$22="1100-1200",IF($X$23="Yes",'Data Tables'!AA7,'Data Tables'!AB7),IF($X$23="Yes",'Data Tables'!AG7,'Data Tables'!AH7))))))))))),IF($X$21="Impermeable - drained for arable",IF($X$22="650-675",IF($X$23="Yes",'Data Tables'!Q7,'Data Tables'!R7),IF($X$22="675-700",IF($X$23="Yes",'Data Tables'!Q7,'Data Tables'!R7),IF($X$22="700-750",IF($X$23="Yes",'Data Tables'!W7,'Data Tables'!X7),IF($X$22="750-800",IF($X$23="Yes",'Data Tables'!W7,'Data Tables'!X7),IF($X$22="800-850",IF($X$23="Yes",'Data Tables'!W7,'Data Tables'!X7),IF($X$22="850-900",IF($X$23="Yes",'Data Tables'!W7,'Data Tables'!X7),IF($X$22="900-950",IF($X$23="Yes",'Data Tables'!AC7,'Data Tables'!AD7),IF($X$22="950-1000",IF($X$23="Yes",'Data Tables'!AC7,'Data Tables'!AD7),IF($X$22="1000-1100",IF($X$23="Yes",'Data Tables'!AC7,'Data Tables'!AD7),IF($X$22="1100-1200",IF($X$23="Yes",'Data Tables'!AC7,'Data Tables'!AD7),IF($X$23="Yes",'Data Tables'!AI7,'Data Tables'!AJ7))))))))))),IF($X$22="650-675",IF($X$23="Yes",'Data Tables'!S7,'Data Tables'!T7),IF($X$22="675-700",IF($X$23="Yes",'Data Tables'!S7,'Data Tables'!T7),IF($X$22="700-750",IF($X$23="Yes",'Data Tables'!Y7,'Data Tables'!Z7),IF($X$22="750-800",IF($X$23="Yes",'Data Tables'!Y7,'Data Tables'!Z7),IF($X$22="800-850",IF($X$23="Yes",'Data Tables'!Y7,'Data Tables'!Z7),IF($X$22="850-900",IF($X$23="Yes",'Data Tables'!Y7,'Data Tables'!Z7),IF($X$22="900-950",IF($X$23="Yes",'Data Tables'!AE7,'Data Tables'!AF7),IF($X$22="950-1000",IF($X$23="Yes",'Data Tables'!AE7,'Data Tables'!AF7),IF($X$22="1000-1100",IF($X$23="Yes",'Data Tables'!AE7,'Data Tables'!AF7),IF($X$22="1100-1200",IF($X$23="Yes",'Data Tables'!AE7,'Data Tables'!AF7),IF($X$23="Yes",'Data Tables'!AK7,'Data Tables'!AL7))))))))))))))),""),""),"")</f>
        <v/>
      </c>
      <c r="Z31" s="202" t="str">
        <f>IF($X$15="Yes",IF($X31="Yes",IF($X$20="Parrett",((IF($X$21="Freely draining",IF($X$22="650-675",IF($X$23="Yes",'Data Tables'!O19,'Data Tables'!P19),IF($X$22="675-700",IF($X$23="Yes",'Data Tables'!O19,'Data Tables'!P19),IF($X$22="700-750",IF($X$23="Yes",'Data Tables'!U19,'Data Tables'!V19),IF($X$22="750-800",IF($X$23="Yes",'Data Tables'!U19,'Data Tables'!V19),IF($X$22="800-850",IF($X$23="Yes",'Data Tables'!U19,'Data Tables'!V19),IF($X$22="850-900",IF($X$23="Yes",'Data Tables'!U19,'Data Tables'!V19),IF($X$22="900-950",IF($X$23="Yes",'Data Tables'!AA19,'Data Tables'!AB19),IF($X$22="950-1000",IF($X$23="Yes",'Data Tables'!AA19,'Data Tables'!AB19),IF($X$22="1000-1100",IF($X$23="Yes",'Data Tables'!AA19,'Data Tables'!AB19),IF($X$22="1100-1200",IF($X$23="Yes",'Data Tables'!AA19,'Data Tables'!AB19),IF($X$23="Yes",'Data Tables'!AG19,'Data Tables'!AH19))))))))))),IF($X$21="Impermeable - drained for arable",IF($X$22="650-675",IF($X$23="Yes",'Data Tables'!Q19,'Data Tables'!R19),IF($X$22="675-700",IF($X$23="Yes",'Data Tables'!Q19,'Data Tables'!R19),IF($X$22="700-750",IF($X$23="Yes",'Data Tables'!W19,'Data Tables'!X19),IF($X$22="750-800",IF($X$23="Yes",'Data Tables'!W19,'Data Tables'!X19),IF($X$22="800-850",IF($X$23="Yes",'Data Tables'!W19,'Data Tables'!X19),IF($X$22="850-900",IF($X$23="Yes",'Data Tables'!W19,'Data Tables'!X19),IF($X$22="900-950",IF($X$23="Yes",'Data Tables'!AC19,'Data Tables'!AD19),IF($X$22="950-1000",IF($X$23="Yes",'Data Tables'!AC19,'Data Tables'!AD19),IF($X$22="1000-1100",IF($X$23="Yes",'Data Tables'!AC19,'Data Tables'!AD19),IF($X$22="1100-1200",IF($X$23="Yes",'Data Tables'!AC19,'Data Tables'!AD19),IF($X$23="Yes",'Data Tables'!AI19,'Data Tables'!AJ19))))))))))),IF($X$22="650-675",IF($X$23="Yes",'Data Tables'!S19,'Data Tables'!T19),IF($X$22="675-700",IF($X$23="Yes",'Data Tables'!S19,'Data Tables'!T19),IF($X$22="700-750",IF($X$23="Yes",'Data Tables'!Y19,'Data Tables'!Z19),IF($X$22="750-800",IF($X$23="Yes",'Data Tables'!Y19,'Data Tables'!Z19),IF($X$22="800-850",IF($X$23="Yes",'Data Tables'!Y19,'Data Tables'!Z19),IF($X$22="850-900",IF($X$23="Yes",'Data Tables'!Y19,'Data Tables'!Z19),IF($X$22="900-950",IF($X$23="Yes",'Data Tables'!AE19,'Data Tables'!AF19),IF($X$22="950-1000",IF($X$23="Yes",'Data Tables'!AE19,'Data Tables'!AF19),IF($X$22="1000-1100",IF($X$23="Yes",'Data Tables'!AE19,'Data Tables'!AF19),IF($X$22="1100-1200",IF($X$23="Yes",'Data Tables'!AE19,'Data Tables'!AF19),IF($X$23="Yes",'Data Tables'!AK19,'Data Tables'!AL19))))))))))))))),""),""),"")</f>
        <v/>
      </c>
      <c r="AA31" s="202" t="str">
        <f>IF($X$15="Yes",IF($X31="Yes",IF($X$20="Brue &amp; Axe",IF($X$21="Freely draining",IF($X$22="650-675",IF($X$23="Yes",'Data Tables'!O31,'Data Tables'!P31),IF($X$22="675-700",IF($X$23="Yes",'Data Tables'!O31,'Data Tables'!P31),IF($X$22="700-750",IF($X$23="Yes",'Data Tables'!U31,'Data Tables'!V31),IF($X$22="750-800",IF($X$23="Yes",'Data Tables'!U31,'Data Tables'!V31),IF($X$22="800-850",IF($X$23="Yes",'Data Tables'!U31,'Data Tables'!V31),IF($X$22="850-900",IF($X$23="Yes",'Data Tables'!U31,'Data Tables'!V31),IF($X$22="900-950",IF($X$23="Yes",'Data Tables'!AA31,'Data Tables'!AB31),IF($X$22="950-1000",IF($X$23="Yes",'Data Tables'!AA31,'Data Tables'!AB31),IF($X$22="1000-1100",IF($X$23="Yes",'Data Tables'!AA31,'Data Tables'!AB31),IF($X$22="1100-1200",IF($X$23="Yes",'Data Tables'!AA31,'Data Tables'!AB31),IF($X$23="Yes",'Data Tables'!AG31,'Data Tables'!AH31))))))))))),IF($X$21="Impermeable - drained for arable",IF($X$22="650-675",IF($X$23="Yes",'Data Tables'!Q31,'Data Tables'!R31),IF($X$22="675-700",IF($X$23="Yes",'Data Tables'!Q31,'Data Tables'!R31),IF($X$22="700-750",IF($X$23="Yes",'Data Tables'!W31,'Data Tables'!X31),IF($X$22="750-800",IF($X$23="Yes",'Data Tables'!W31,'Data Tables'!X31),IF($X$22="800-850",IF($X$23="Yes",'Data Tables'!W31,'Data Tables'!X31),IF($X$22="850-900",IF($X$23="Yes",'Data Tables'!W31,'Data Tables'!X31),IF($X$22="900-950",IF($X$23="Yes",'Data Tables'!AC31,'Data Tables'!AD31),IF($X$22="950-1000",IF($X$23="Yes",'Data Tables'!AC31,'Data Tables'!AD31),IF($X$22="1000-1100",IF($X$23="Yes",'Data Tables'!AC31,'Data Tables'!AD31),IF($X$22="1100-1200",IF($X$23="Yes",'Data Tables'!AC31,'Data Tables'!AD31),IF($X$23="Yes",'Data Tables'!AI31,'Data Tables'!AJ31))))))))))),IF($X$22="650-675",IF($X$23="Yes",'Data Tables'!S31,'Data Tables'!T31),IF($X$22="675-700",IF($X$23="Yes",'Data Tables'!S31,'Data Tables'!T31),IF($X$22="700-750",IF($X$23="Yes",'Data Tables'!Y31,'Data Tables'!Z31),IF($X$22="750-800",IF($X$23="Yes",'Data Tables'!Y31,'Data Tables'!Z31),IF($X$22="800-850",IF($X$23="Yes",'Data Tables'!Y31,'Data Tables'!Z31),IF($X$22="850-900",IF($X$23="Yes",'Data Tables'!Y31,'Data Tables'!Z31),IF($X$22="900-950",IF($X$23="Yes",'Data Tables'!AE31,'Data Tables'!AF31),IF($X$22="950-1000",IF($X$23="Yes",'Data Tables'!AE31,'Data Tables'!AF31),IF($X$22="1000-1100",IF($X$23="Yes",'Data Tables'!AE31,'Data Tables'!AF31),IF($X$22="1100-1200",IF($X$23="Yes",'Data Tables'!AE31,'Data Tables'!AF31),IF($X$23="Yes",'Data Tables'!AK31,'Data Tables'!AL31))))))))))))),""),""),"")</f>
        <v/>
      </c>
      <c r="AB31" s="223"/>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row>
    <row r="32" spans="2:56" ht="15.95" customHeight="1">
      <c r="B32" s="44"/>
      <c r="C32" s="40"/>
      <c r="D32" s="149"/>
      <c r="E32" s="437" t="str">
        <f>'Stage 2'!F26</f>
        <v>Poultry</v>
      </c>
      <c r="F32" s="437"/>
      <c r="G32" s="437"/>
      <c r="H32" s="437"/>
      <c r="I32" s="437"/>
      <c r="J32" s="103"/>
      <c r="K32" s="225" t="str">
        <f>IF('Stage 2'!$K26&gt;0,SUM('Stage 2'!$O26,'Stage 2'!$P26,'Stage 2'!$Q26)/'Stage 2'!$K26,"")</f>
        <v/>
      </c>
      <c r="L32" s="310"/>
      <c r="M32" s="152"/>
      <c r="N32" s="160" t="s">
        <v>175</v>
      </c>
      <c r="O32" s="161" t="s">
        <v>298</v>
      </c>
      <c r="P32" s="179"/>
      <c r="Q32" s="47"/>
      <c r="R32" s="47"/>
      <c r="S32" s="437" t="str">
        <f t="shared" si="0"/>
        <v>Poultry</v>
      </c>
      <c r="T32" s="437"/>
      <c r="U32" s="437"/>
      <c r="V32" s="437"/>
      <c r="W32" s="437"/>
      <c r="X32" s="160" t="s">
        <v>175</v>
      </c>
      <c r="Y32" s="202" t="str">
        <f>IF($X$15="Yes",IF($X32="Yes",IF($X$20="Tone",((IF($X$21="Freely draining",IF($X$22="650-675",IF($X$23="Yes",'Data Tables'!O8,'Data Tables'!P8),IF($X$22="675-700",IF($X$23="Yes",'Data Tables'!O8,'Data Tables'!P8),IF($X$22="700-750",IF($X$23="Yes",'Data Tables'!U8,'Data Tables'!V8),IF($X$22="750-800",IF($X$23="Yes",'Data Tables'!U8,'Data Tables'!V8),IF($X$22="800-850",IF($X$23="Yes",'Data Tables'!U8,'Data Tables'!V8),IF($X$22="850-900",IF($X$23="Yes",'Data Tables'!U8,'Data Tables'!V8),IF($X$22="900-950",IF($X$23="Yes",'Data Tables'!AA8,'Data Tables'!AB8),IF($X$22="950-1000",IF($X$23="Yes",'Data Tables'!AA8,'Data Tables'!AB8),IF($X$22="1000-1100",IF($X$23="Yes",'Data Tables'!AA8,'Data Tables'!AB8),IF($X$22="1100-1200",IF($X$23="Yes",'Data Tables'!AA8,'Data Tables'!AB8),IF($X$23="Yes",'Data Tables'!AG8,'Data Tables'!AH8))))))))))),IF($X$21="Impermeable - drained for arable",IF($X$22="650-675",IF($X$23="Yes",'Data Tables'!Q8,'Data Tables'!R8),IF($X$22="675-700",IF($X$23="Yes",'Data Tables'!Q8,'Data Tables'!R8),IF($X$22="700-750",IF($X$23="Yes",'Data Tables'!W8,'Data Tables'!X8),IF($X$22="750-800",IF($X$23="Yes",'Data Tables'!W8,'Data Tables'!X8),IF($X$22="800-850",IF($X$23="Yes",'Data Tables'!W8,'Data Tables'!X8),IF($X$22="850-900",IF($X$23="Yes",'Data Tables'!W8,'Data Tables'!X8),IF($X$22="900-950",IF($X$23="Yes",'Data Tables'!AC8,'Data Tables'!AD8),IF($X$22="950-1000",IF($X$23="Yes",'Data Tables'!AC8,'Data Tables'!AD8),IF($X$22="1000-1100",IF($X$23="Yes",'Data Tables'!AC8,'Data Tables'!AD8),IF($X$22="1100-1200",IF($X$23="Yes",'Data Tables'!AC8,'Data Tables'!AD8),IF($X$23="Yes",'Data Tables'!AI8,'Data Tables'!AJ8))))))))))),IF($X$22="650-675",IF($X$23="Yes",'Data Tables'!S8,'Data Tables'!T8),IF($X$22="675-700",IF($X$23="Yes",'Data Tables'!S8,'Data Tables'!T8),IF($X$22="700-750",IF($X$23="Yes",'Data Tables'!Y8,'Data Tables'!Z8),IF($X$22="750-800",IF($X$23="Yes",'Data Tables'!Y8,'Data Tables'!Z8),IF($X$22="800-850",IF($X$23="Yes",'Data Tables'!Y8,'Data Tables'!Z8),IF($X$22="850-900",IF($X$23="Yes",'Data Tables'!Y8,'Data Tables'!Z8),IF($X$22="900-950",IF($X$23="Yes",'Data Tables'!AE8,'Data Tables'!AF8),IF($X$22="950-1000",IF($X$23="Yes",'Data Tables'!AE8,'Data Tables'!AF8),IF($X$22="1000-1100",IF($X$23="Yes",'Data Tables'!AE8,'Data Tables'!AF8),IF($X$22="1100-1200",IF($X$23="Yes",'Data Tables'!AE8,'Data Tables'!AF8),IF($X$23="Yes",'Data Tables'!AK8,'Data Tables'!AL8))))))))))))))),""),""),"")</f>
        <v/>
      </c>
      <c r="Z32" s="202" t="str">
        <f>IF($X$15="Yes",IF($X32="Yes",IF($X$20="Parrett",((IF($X$21="Freely draining",IF($X$22="650-675",IF($X$23="Yes",'Data Tables'!O20,'Data Tables'!P20),IF($X$22="675-700",IF($X$23="Yes",'Data Tables'!O20,'Data Tables'!P20),IF($X$22="700-750",IF($X$23="Yes",'Data Tables'!U20,'Data Tables'!V20),IF($X$22="750-800",IF($X$23="Yes",'Data Tables'!U20,'Data Tables'!V20),IF($X$22="800-850",IF($X$23="Yes",'Data Tables'!U20,'Data Tables'!V20),IF($X$22="850-900",IF($X$23="Yes",'Data Tables'!U20,'Data Tables'!V20),IF($X$22="900-950",IF($X$23="Yes",'Data Tables'!AA20,'Data Tables'!AB20),IF($X$22="950-1000",IF($X$23="Yes",'Data Tables'!AA20,'Data Tables'!AB20),IF($X$22="1000-1100",IF($X$23="Yes",'Data Tables'!AA20,'Data Tables'!AB20),IF($X$22="1100-1200",IF($X$23="Yes",'Data Tables'!AA20,'Data Tables'!AB20),IF($X$23="Yes",'Data Tables'!AG20,'Data Tables'!AH20))))))))))),IF($X$21="Impermeable - drained for arable",IF($X$22="650-675",IF($X$23="Yes",'Data Tables'!Q20,'Data Tables'!R20),IF($X$22="675-700",IF($X$23="Yes",'Data Tables'!Q20,'Data Tables'!R20),IF($X$22="700-750",IF($X$23="Yes",'Data Tables'!W20,'Data Tables'!X20),IF($X$22="750-800",IF($X$23="Yes",'Data Tables'!W20,'Data Tables'!X20),IF($X$22="800-850",IF($X$23="Yes",'Data Tables'!W20,'Data Tables'!X20),IF($X$22="850-900",IF($X$23="Yes",'Data Tables'!W20,'Data Tables'!X20),IF($X$22="900-950",IF($X$23="Yes",'Data Tables'!AC20,'Data Tables'!AD20),IF($X$22="950-1000",IF($X$23="Yes",'Data Tables'!AC20,'Data Tables'!AD20),IF($X$22="1000-1100",IF($X$23="Yes",'Data Tables'!AC20,'Data Tables'!AD20),IF($X$22="1100-1200",IF($X$23="Yes",'Data Tables'!AC20,'Data Tables'!AD20),IF($X$23="Yes",'Data Tables'!AI20,'Data Tables'!AJ20))))))))))),IF($X$22="650-675",IF($X$23="Yes",'Data Tables'!S20,'Data Tables'!T20),IF($X$22="675-700",IF($X$23="Yes",'Data Tables'!S20,'Data Tables'!T20),IF($X$22="700-750",IF($X$23="Yes",'Data Tables'!Y20,'Data Tables'!Z20),IF($X$22="750-800",IF($X$23="Yes",'Data Tables'!Y20,'Data Tables'!Z20),IF($X$22="800-850",IF($X$23="Yes",'Data Tables'!Y20,'Data Tables'!Z20),IF($X$22="850-900",IF($X$23="Yes",'Data Tables'!Y20,'Data Tables'!Z20),IF($X$22="900-950",IF($X$23="Yes",'Data Tables'!AE20,'Data Tables'!AF20),IF($X$22="950-1000",IF($X$23="Yes",'Data Tables'!AE20,'Data Tables'!AF20),IF($X$22="1000-1100",IF($X$23="Yes",'Data Tables'!AE20,'Data Tables'!AF20),IF($X$22="1100-1200",IF($X$23="Yes",'Data Tables'!AE20,'Data Tables'!AF20),IF($X$23="Yes",'Data Tables'!AK20,'Data Tables'!AL20))))))))))))))),""),""),"")</f>
        <v/>
      </c>
      <c r="AA32" s="202" t="str">
        <f>IF($X$15="Yes",IF($X32="Yes",IF($X$20="Brue &amp; Axe",IF($X$21="Freely draining",IF($X$22="650-675",IF($X$23="Yes",'Data Tables'!O32,'Data Tables'!P32),IF($X$22="675-700",IF($X$23="Yes",'Data Tables'!O32,'Data Tables'!P32),IF($X$22="700-750",IF($X$23="Yes",'Data Tables'!U32,'Data Tables'!V32),IF($X$22="750-800",IF($X$23="Yes",'Data Tables'!U32,'Data Tables'!V32),IF($X$22="800-850",IF($X$23="Yes",'Data Tables'!U32,'Data Tables'!V32),IF($X$22="850-900",IF($X$23="Yes",'Data Tables'!U32,'Data Tables'!V32),IF($X$22="900-950",IF($X$23="Yes",'Data Tables'!AA32,'Data Tables'!AB32),IF($X$22="950-1000",IF($X$23="Yes",'Data Tables'!AA32,'Data Tables'!AB32),IF($X$22="1000-1100",IF($X$23="Yes",'Data Tables'!AA32,'Data Tables'!AB32),IF($X$22="1100-1200",IF($X$23="Yes",'Data Tables'!AA32,'Data Tables'!AB32),IF($X$23="Yes",'Data Tables'!AG32,'Data Tables'!AH32))))))))))),IF($X$21="Impermeable - drained for arable",IF($X$22="650-675",IF($X$23="Yes",'Data Tables'!Q32,'Data Tables'!R32),IF($X$22="675-700",IF($X$23="Yes",'Data Tables'!Q32,'Data Tables'!R32),IF($X$22="700-750",IF($X$23="Yes",'Data Tables'!W32,'Data Tables'!X32),IF($X$22="750-800",IF($X$23="Yes",'Data Tables'!W32,'Data Tables'!X32),IF($X$22="800-850",IF($X$23="Yes",'Data Tables'!W32,'Data Tables'!X32),IF($X$22="850-900",IF($X$23="Yes",'Data Tables'!W32,'Data Tables'!X32),IF($X$22="900-950",IF($X$23="Yes",'Data Tables'!AC32,'Data Tables'!AD32),IF($X$22="950-1000",IF($X$23="Yes",'Data Tables'!AC32,'Data Tables'!AD32),IF($X$22="1000-1100",IF($X$23="Yes",'Data Tables'!AC32,'Data Tables'!AD32),IF($X$22="1100-1200",IF($X$23="Yes",'Data Tables'!AC32,'Data Tables'!AD32),IF($X$23="Yes",'Data Tables'!AI32,'Data Tables'!AJ32))))))))))),IF($X$22="650-675",IF($X$23="Yes",'Data Tables'!S32,'Data Tables'!T32),IF($X$22="675-700",IF($X$23="Yes",'Data Tables'!S32,'Data Tables'!T32),IF($X$22="700-750",IF($X$23="Yes",'Data Tables'!Y32,'Data Tables'!Z32),IF($X$22="750-800",IF($X$23="Yes",'Data Tables'!Y32,'Data Tables'!Z32),IF($X$22="800-850",IF($X$23="Yes",'Data Tables'!Y32,'Data Tables'!Z32),IF($X$22="850-900",IF($X$23="Yes",'Data Tables'!Y32,'Data Tables'!Z32),IF($X$22="900-950",IF($X$23="Yes",'Data Tables'!AE32,'Data Tables'!AF32),IF($X$22="950-1000",IF($X$23="Yes",'Data Tables'!AE32,'Data Tables'!AF32),IF($X$22="1000-1100",IF($X$23="Yes",'Data Tables'!AE32,'Data Tables'!AF32),IF($X$22="1100-1200",IF($X$23="Yes",'Data Tables'!AE32,'Data Tables'!AF32),IF($X$23="Yes",'Data Tables'!AK32,'Data Tables'!AL32))))))))))))),""),""),"")</f>
        <v/>
      </c>
      <c r="AB32" s="223"/>
      <c r="AE32" s="82"/>
      <c r="AF32" s="82"/>
      <c r="AG32" s="82"/>
      <c r="AH32" s="82"/>
      <c r="AI32" s="82"/>
      <c r="AJ32" s="82"/>
      <c r="AK32" s="82"/>
      <c r="AL32" s="82"/>
      <c r="AM32" s="82"/>
      <c r="AN32" s="82"/>
      <c r="AO32" s="82"/>
      <c r="AP32" s="82"/>
      <c r="AQ32" s="82"/>
      <c r="AS32" s="82"/>
      <c r="AT32" s="82"/>
      <c r="AU32" s="82"/>
      <c r="AV32" s="82"/>
      <c r="AW32" s="82"/>
      <c r="AX32" s="82"/>
      <c r="AY32" s="82"/>
      <c r="AZ32" s="82"/>
    </row>
    <row r="33" spans="2:52" ht="15.95" customHeight="1">
      <c r="B33" s="44"/>
      <c r="C33" s="40"/>
      <c r="D33" s="149"/>
      <c r="E33" s="437" t="str">
        <f>'Stage 2'!F27</f>
        <v>Pigs</v>
      </c>
      <c r="F33" s="437"/>
      <c r="G33" s="437"/>
      <c r="H33" s="437"/>
      <c r="I33" s="437"/>
      <c r="J33" s="103"/>
      <c r="K33" s="225" t="str">
        <f>IF('Stage 2'!$K27&gt;0,SUM('Stage 2'!$O27,'Stage 2'!$P27,'Stage 2'!$Q27)/'Stage 2'!$K27,"")</f>
        <v/>
      </c>
      <c r="L33" s="310"/>
      <c r="M33" s="152"/>
      <c r="N33" s="160" t="s">
        <v>175</v>
      </c>
      <c r="O33" s="161" t="s">
        <v>298</v>
      </c>
      <c r="P33" s="179"/>
      <c r="Q33" s="47"/>
      <c r="R33" s="47"/>
      <c r="S33" s="437" t="str">
        <f t="shared" si="0"/>
        <v>Pigs</v>
      </c>
      <c r="T33" s="437"/>
      <c r="U33" s="437"/>
      <c r="V33" s="437"/>
      <c r="W33" s="437"/>
      <c r="X33" s="160" t="s">
        <v>175</v>
      </c>
      <c r="Y33" s="202" t="str">
        <f>IF($X$15="Yes",IF($X33="Yes",IF($X$20="Tone",((IF($X$21="Freely draining",IF($X$22="650-675",IF($X$23="Yes",'Data Tables'!O9,'Data Tables'!P9),IF($X$22="675-700",IF($X$23="Yes",'Data Tables'!O9,'Data Tables'!P9),IF($X$22="700-750",IF($X$23="Yes",'Data Tables'!U9,'Data Tables'!V9),IF($X$22="750-800",IF($X$23="Yes",'Data Tables'!U9,'Data Tables'!V9),IF($X$22="800-850",IF($X$23="Yes",'Data Tables'!U9,'Data Tables'!V9),IF($X$22="850-900",IF($X$23="Yes",'Data Tables'!U9,'Data Tables'!V9),IF($X$22="900-950",IF($X$23="Yes",'Data Tables'!AA9,'Data Tables'!AB9),IF($X$22="950-1000",IF($X$23="Yes",'Data Tables'!AA9,'Data Tables'!AB9),IF($X$22="1000-1100",IF($X$23="Yes",'Data Tables'!AA9,'Data Tables'!AB9),IF($X$22="1100-1200",IF($X$23="Yes",'Data Tables'!AA9,'Data Tables'!AB9),IF($X$23="Yes",'Data Tables'!AG9,'Data Tables'!AH9))))))))))),IF($X$21="Impermeable - drained for arable",IF($X$22="650-675",IF($X$23="Yes",'Data Tables'!Q9,'Data Tables'!R9),IF($X$22="675-700",IF($X$23="Yes",'Data Tables'!Q9,'Data Tables'!R9),IF($X$22="700-750",IF($X$23="Yes",'Data Tables'!W9,'Data Tables'!X9),IF($X$22="750-800",IF($X$23="Yes",'Data Tables'!W9,'Data Tables'!X9),IF($X$22="800-850",IF($X$23="Yes",'Data Tables'!W9,'Data Tables'!X9),IF($X$22="850-900",IF($X$23="Yes",'Data Tables'!W9,'Data Tables'!X9),IF($X$22="900-950",IF($X$23="Yes",'Data Tables'!AC9,'Data Tables'!AD9),IF($X$22="950-1000",IF($X$23="Yes",'Data Tables'!AC9,'Data Tables'!AD9),IF($X$22="1000-1100",IF($X$23="Yes",'Data Tables'!AC9,'Data Tables'!AD9),IF($X$22="1100-1200",IF($X$23="Yes",'Data Tables'!AC9,'Data Tables'!AD9),IF($X$23="Yes",'Data Tables'!AI9,'Data Tables'!AJ9))))))))))),IF($X$22="650-675",IF($X$23="Yes",'Data Tables'!S9,'Data Tables'!T9),IF($X$22="675-700",IF($X$23="Yes",'Data Tables'!S9,'Data Tables'!T9),IF($X$22="700-750",IF($X$23="Yes",'Data Tables'!Y9,'Data Tables'!Z9),IF($X$22="750-800",IF($X$23="Yes",'Data Tables'!Y9,'Data Tables'!Z9),IF($X$22="800-850",IF($X$23="Yes",'Data Tables'!Y9,'Data Tables'!Z9),IF($X$22="850-900",IF($X$23="Yes",'Data Tables'!Y9,'Data Tables'!Z9),IF($X$22="900-950",IF($X$23="Yes",'Data Tables'!AE9,'Data Tables'!AF9),IF($X$22="950-1000",IF($X$23="Yes",'Data Tables'!AE9,'Data Tables'!AF9),IF($X$22="1000-1100",IF($X$23="Yes",'Data Tables'!AE9,'Data Tables'!AF9),IF($X$22="1100-1200",IF($X$23="Yes",'Data Tables'!AE9,'Data Tables'!AF9),IF($X$23="Yes",'Data Tables'!AK9,'Data Tables'!AL9))))))))))))))),""),""),"")</f>
        <v/>
      </c>
      <c r="Z33" s="202" t="str">
        <f>IF($X$15="Yes",IF($X33="Yes",IF($X$20="Parrett",((IF($X$21="Freely draining",IF($X$22="650-675",IF($X$23="Yes",'Data Tables'!O21,'Data Tables'!P21),IF($X$22="675-700",IF($X$23="Yes",'Data Tables'!O21,'Data Tables'!P21),IF($X$22="700-750",IF($X$23="Yes",'Data Tables'!U21,'Data Tables'!V21),IF($X$22="750-800",IF($X$23="Yes",'Data Tables'!U21,'Data Tables'!V21),IF($X$22="800-850",IF($X$23="Yes",'Data Tables'!U21,'Data Tables'!V21),IF($X$22="850-900",IF($X$23="Yes",'Data Tables'!U21,'Data Tables'!V21),IF($X$22="900-950",IF($X$23="Yes",'Data Tables'!AA21,'Data Tables'!AB21),IF($X$22="950-1000",IF($X$23="Yes",'Data Tables'!AA21,'Data Tables'!AB21),IF($X$22="1000-1100",IF($X$23="Yes",'Data Tables'!AA21,'Data Tables'!AB21),IF($X$22="1100-1200",IF($X$23="Yes",'Data Tables'!AA21,'Data Tables'!AB21),IF($X$23="Yes",'Data Tables'!AG21,'Data Tables'!AH21))))))))))),IF($X$21="Impermeable - drained for arable",IF($X$22="650-675",IF($X$23="Yes",'Data Tables'!Q21,'Data Tables'!R21),IF($X$22="675-700",IF($X$23="Yes",'Data Tables'!Q21,'Data Tables'!R21),IF($X$22="700-750",IF($X$23="Yes",'Data Tables'!W21,'Data Tables'!X21),IF($X$22="750-800",IF($X$23="Yes",'Data Tables'!W21,'Data Tables'!X21),IF($X$22="800-850",IF($X$23="Yes",'Data Tables'!W21,'Data Tables'!X21),IF($X$22="850-900",IF($X$23="Yes",'Data Tables'!W21,'Data Tables'!X21),IF($X$22="900-950",IF($X$23="Yes",'Data Tables'!AC21,'Data Tables'!AD21),IF($X$22="950-1000",IF($X$23="Yes",'Data Tables'!AC21,'Data Tables'!AD21),IF($X$22="1000-1100",IF($X$23="Yes",'Data Tables'!AC21,'Data Tables'!AD21),IF($X$22="1100-1200",IF($X$23="Yes",'Data Tables'!AC21,'Data Tables'!AD21),IF($X$23="Yes",'Data Tables'!AI21,'Data Tables'!AJ21))))))))))),IF($X$22="650-675",IF($X$23="Yes",'Data Tables'!S21,'Data Tables'!T21),IF($X$22="675-700",IF($X$23="Yes",'Data Tables'!S21,'Data Tables'!T21),IF($X$22="700-750",IF($X$23="Yes",'Data Tables'!Y21,'Data Tables'!Z21),IF($X$22="750-800",IF($X$23="Yes",'Data Tables'!Y21,'Data Tables'!Z21),IF($X$22="800-850",IF($X$23="Yes",'Data Tables'!Y21,'Data Tables'!Z21),IF($X$22="850-900",IF($X$23="Yes",'Data Tables'!Y21,'Data Tables'!Z21),IF($X$22="900-950",IF($X$23="Yes",'Data Tables'!AE21,'Data Tables'!AF21),IF($X$22="950-1000",IF($X$23="Yes",'Data Tables'!AE21,'Data Tables'!AF21),IF($X$22="1000-1100",IF($X$23="Yes",'Data Tables'!AE21,'Data Tables'!AF21),IF($X$22="1100-1200",IF($X$23="Yes",'Data Tables'!AE21,'Data Tables'!AF21),IF($X$23="Yes",'Data Tables'!AK21,'Data Tables'!AL21))))))))))))))),""),""),"")</f>
        <v/>
      </c>
      <c r="AA33" s="202" t="str">
        <f>IF($X$15="Yes",IF($X33="Yes",IF($X$20="Brue &amp; Axe",IF($X$21="Freely draining",IF($X$22="650-675",IF($X$23="Yes",'Data Tables'!O33,'Data Tables'!P33),IF($X$22="675-700",IF($X$23="Yes",'Data Tables'!O33,'Data Tables'!P33),IF($X$22="700-750",IF($X$23="Yes",'Data Tables'!U33,'Data Tables'!V33),IF($X$22="750-800",IF($X$23="Yes",'Data Tables'!U33,'Data Tables'!V33),IF($X$22="800-850",IF($X$23="Yes",'Data Tables'!U33,'Data Tables'!V33),IF($X$22="850-900",IF($X$23="Yes",'Data Tables'!U33,'Data Tables'!V33),IF($X$22="900-950",IF($X$23="Yes",'Data Tables'!AA33,'Data Tables'!AB33),IF($X$22="950-1000",IF($X$23="Yes",'Data Tables'!AA33,'Data Tables'!AB33),IF($X$22="1000-1100",IF($X$23="Yes",'Data Tables'!AA33,'Data Tables'!AB33),IF($X$22="1100-1200",IF($X$23="Yes",'Data Tables'!AA33,'Data Tables'!AB33),IF($X$23="Yes",'Data Tables'!AG33,'Data Tables'!AH33))))))))))),IF($X$21="Impermeable - drained for arable",IF($X$22="650-675",IF($X$23="Yes",'Data Tables'!Q33,'Data Tables'!R33),IF($X$22="675-700",IF($X$23="Yes",'Data Tables'!Q33,'Data Tables'!R33),IF($X$22="700-750",IF($X$23="Yes",'Data Tables'!W33,'Data Tables'!X33),IF($X$22="750-800",IF($X$23="Yes",'Data Tables'!W33,'Data Tables'!X33),IF($X$22="800-850",IF($X$23="Yes",'Data Tables'!W33,'Data Tables'!X33),IF($X$22="850-900",IF($X$23="Yes",'Data Tables'!W33,'Data Tables'!X33),IF($X$22="900-950",IF($X$23="Yes",'Data Tables'!AC33,'Data Tables'!AD33),IF($X$22="950-1000",IF($X$23="Yes",'Data Tables'!AC33,'Data Tables'!AD33),IF($X$22="1000-1100",IF($X$23="Yes",'Data Tables'!AC33,'Data Tables'!AD33),IF($X$22="1100-1200",IF($X$23="Yes",'Data Tables'!AC33,'Data Tables'!AD33),IF($X$23="Yes",'Data Tables'!AI33,'Data Tables'!AJ33))))))))))),IF($X$22="650-675",IF($X$23="Yes",'Data Tables'!S33,'Data Tables'!T33),IF($X$22="675-700",IF($X$23="Yes",'Data Tables'!S33,'Data Tables'!T33),IF($X$22="700-750",IF($X$23="Yes",'Data Tables'!Y33,'Data Tables'!Z33),IF($X$22="750-800",IF($X$23="Yes",'Data Tables'!Y33,'Data Tables'!Z33),IF($X$22="800-850",IF($X$23="Yes",'Data Tables'!Y33,'Data Tables'!Z33),IF($X$22="850-900",IF($X$23="Yes",'Data Tables'!Y33,'Data Tables'!Z33),IF($X$22="900-950",IF($X$23="Yes",'Data Tables'!AE33,'Data Tables'!AF33),IF($X$22="950-1000",IF($X$23="Yes",'Data Tables'!AE33,'Data Tables'!AF33),IF($X$22="1000-1100",IF($X$23="Yes",'Data Tables'!AE33,'Data Tables'!AF33),IF($X$22="1100-1200",IF($X$23="Yes",'Data Tables'!AE33,'Data Tables'!AF33),IF($X$23="Yes",'Data Tables'!AK33,'Data Tables'!AL33))))))))))))),""),""),"")</f>
        <v/>
      </c>
      <c r="AB33" s="223"/>
      <c r="AE33" s="82"/>
      <c r="AF33" s="82"/>
      <c r="AG33" s="82"/>
      <c r="AH33" s="82"/>
      <c r="AI33" s="82"/>
      <c r="AJ33" s="82"/>
      <c r="AK33" s="82"/>
      <c r="AL33" s="82"/>
      <c r="AM33" s="82"/>
      <c r="AN33" s="82"/>
      <c r="AO33" s="82"/>
      <c r="AP33" s="82"/>
      <c r="AQ33" s="82"/>
      <c r="AS33" s="82"/>
      <c r="AT33" s="82"/>
      <c r="AU33" s="82"/>
      <c r="AV33" s="82"/>
      <c r="AW33" s="82"/>
      <c r="AX33" s="82"/>
      <c r="AY33" s="82"/>
      <c r="AZ33" s="82"/>
    </row>
    <row r="34" spans="2:52" ht="15.95" customHeight="1">
      <c r="B34" s="44"/>
      <c r="C34" s="40"/>
      <c r="D34" s="149"/>
      <c r="E34" s="437" t="str">
        <f>'Stage 2'!F28</f>
        <v>Horticulture</v>
      </c>
      <c r="F34" s="437"/>
      <c r="G34" s="437"/>
      <c r="H34" s="437"/>
      <c r="I34" s="437"/>
      <c r="J34" s="103"/>
      <c r="K34" s="225" t="str">
        <f>IF('Stage 2'!$K28&gt;0,SUM('Stage 2'!$O28,'Stage 2'!$P28,'Stage 2'!$Q28)/'Stage 2'!$K28,"")</f>
        <v/>
      </c>
      <c r="L34" s="310"/>
      <c r="M34" s="152"/>
      <c r="N34" s="160" t="s">
        <v>175</v>
      </c>
      <c r="O34" s="161" t="s">
        <v>298</v>
      </c>
      <c r="P34" s="179"/>
      <c r="Q34" s="47"/>
      <c r="R34" s="47"/>
      <c r="S34" s="437" t="str">
        <f t="shared" si="0"/>
        <v>Horticulture</v>
      </c>
      <c r="T34" s="437"/>
      <c r="U34" s="437"/>
      <c r="V34" s="437"/>
      <c r="W34" s="437"/>
      <c r="X34" s="160" t="s">
        <v>175</v>
      </c>
      <c r="Y34" s="202" t="str">
        <f>IF($X$15="Yes",IF($X34="Yes",IF($X$20="Tone",((IF($X$21="Freely draining",IF($X$22="650-675",IF($X$23="Yes",'Data Tables'!O10,'Data Tables'!P10),IF($X$22="675-700",IF($X$23="Yes",'Data Tables'!O10,'Data Tables'!P10),IF($X$22="700-750",IF($X$23="Yes",'Data Tables'!U10,'Data Tables'!V10),IF($X$22="750-800",IF($X$23="Yes",'Data Tables'!U10,'Data Tables'!V10),IF($X$22="800-850",IF($X$23="Yes",'Data Tables'!U10,'Data Tables'!V10),IF($X$22="850-900",IF($X$23="Yes",'Data Tables'!U10,'Data Tables'!V10),IF($X$22="900-950",IF($X$23="Yes",'Data Tables'!AA10,'Data Tables'!AB10),IF($X$22="950-1000",IF($X$23="Yes",'Data Tables'!AA10,'Data Tables'!AB10),IF($X$22="1000-1100",IF($X$23="Yes",'Data Tables'!AA10,'Data Tables'!AB10),IF($X$22="1100-1200",IF($X$23="Yes",'Data Tables'!AA10,'Data Tables'!AB10),IF($X$23="Yes",'Data Tables'!AG10,'Data Tables'!AH10))))))))))),IF($X$21="Impermeable - drained for arable",IF($X$22="650-675",IF($X$23="Yes",'Data Tables'!Q10,'Data Tables'!R10),IF($X$22="675-700",IF($X$23="Yes",'Data Tables'!Q10,'Data Tables'!R10),IF($X$22="700-750",IF($X$23="Yes",'Data Tables'!W10,'Data Tables'!X10),IF($X$22="750-800",IF($X$23="Yes",'Data Tables'!W10,'Data Tables'!X10),IF($X$22="800-850",IF($X$23="Yes",'Data Tables'!W10,'Data Tables'!X10),IF($X$22="850-900",IF($X$23="Yes",'Data Tables'!W10,'Data Tables'!X10),IF($X$22="900-950",IF($X$23="Yes",'Data Tables'!AC10,'Data Tables'!AD10),IF($X$22="950-1000",IF($X$23="Yes",'Data Tables'!AC10,'Data Tables'!AD10),IF($X$22="1000-1100",IF($X$23="Yes",'Data Tables'!AC10,'Data Tables'!AD10),IF($X$22="1100-1200",IF($X$23="Yes",'Data Tables'!AC10,'Data Tables'!AD10),IF($X$23="Yes",'Data Tables'!AI10,'Data Tables'!AJ10))))))))))),IF($X$22="650-675",IF($X$23="Yes",'Data Tables'!S10,'Data Tables'!T10),IF($X$22="675-700",IF($X$23="Yes",'Data Tables'!S10,'Data Tables'!T10),IF($X$22="700-750",IF($X$23="Yes",'Data Tables'!Y10,'Data Tables'!Z10),IF($X$22="750-800",IF($X$23="Yes",'Data Tables'!Y10,'Data Tables'!Z10),IF($X$22="800-850",IF($X$23="Yes",'Data Tables'!Y10,'Data Tables'!Z10),IF($X$22="850-900",IF($X$23="Yes",'Data Tables'!Y10,'Data Tables'!Z10),IF($X$22="900-950",IF($X$23="Yes",'Data Tables'!AE10,'Data Tables'!AF10),IF($X$22="950-1000",IF($X$23="Yes",'Data Tables'!AE10,'Data Tables'!AF10),IF($X$22="1000-1100",IF($X$23="Yes",'Data Tables'!AE10,'Data Tables'!AF10),IF($X$22="1100-1200",IF($X$23="Yes",'Data Tables'!AE10,'Data Tables'!AF10),IF($X$23="Yes",'Data Tables'!AK10,'Data Tables'!AL10))))))))))))))),""),""),"")</f>
        <v/>
      </c>
      <c r="Z34" s="202" t="str">
        <f>IF($X$15="Yes",IF($X34="Yes",IF($X$20="Parrett",((IF($X$21="Freely draining",IF($X$22="650-675",IF($X$23="Yes",'Data Tables'!O22,'Data Tables'!P22),IF($X$22="675-700",IF($X$23="Yes",'Data Tables'!O22,'Data Tables'!P22),IF($X$22="700-750",IF($X$23="Yes",'Data Tables'!U22,'Data Tables'!V22),IF($X$22="750-800",IF($X$23="Yes",'Data Tables'!U22,'Data Tables'!V22),IF($X$22="800-850",IF($X$23="Yes",'Data Tables'!U22,'Data Tables'!V22),IF($X$22="850-900",IF($X$23="Yes",'Data Tables'!U22,'Data Tables'!V22),IF($X$22="900-950",IF($X$23="Yes",'Data Tables'!AA22,'Data Tables'!AB22),IF($X$22="950-1000",IF($X$23="Yes",'Data Tables'!AA22,'Data Tables'!AB22),IF($X$22="1000-1100",IF($X$23="Yes",'Data Tables'!AA22,'Data Tables'!AB22),IF($X$22="1100-1200",IF($X$23="Yes",'Data Tables'!AA22,'Data Tables'!AB22),IF($X$23="Yes",'Data Tables'!AG22,'Data Tables'!AH22))))))))))),IF($X$21="Impermeable - drained for arable",IF($X$22="650-675",IF($X$23="Yes",'Data Tables'!Q22,'Data Tables'!R22),IF($X$22="675-700",IF($X$23="Yes",'Data Tables'!Q22,'Data Tables'!R22),IF($X$22="700-750",IF($X$23="Yes",'Data Tables'!W22,'Data Tables'!X22),IF($X$22="750-800",IF($X$23="Yes",'Data Tables'!W22,'Data Tables'!X22),IF($X$22="800-850",IF($X$23="Yes",'Data Tables'!W22,'Data Tables'!X22),IF($X$22="850-900",IF($X$23="Yes",'Data Tables'!W22,'Data Tables'!X22),IF($X$22="900-950",IF($X$23="Yes",'Data Tables'!AC22,'Data Tables'!AD22),IF($X$22="950-1000",IF($X$23="Yes",'Data Tables'!AC22,'Data Tables'!AD22),IF($X$22="1000-1100",IF($X$23="Yes",'Data Tables'!AC22,'Data Tables'!AD22),IF($X$22="1100-1200",IF($X$23="Yes",'Data Tables'!AC22,'Data Tables'!AD22),IF($X$23="Yes",'Data Tables'!AI22,'Data Tables'!AJ22))))))))))),IF($X$22="650-675",IF($X$23="Yes",'Data Tables'!S22,'Data Tables'!T22),IF($X$22="675-700",IF($X$23="Yes",'Data Tables'!S22,'Data Tables'!T22),IF($X$22="700-750",IF($X$23="Yes",'Data Tables'!Y22,'Data Tables'!Z22),IF($X$22="750-800",IF($X$23="Yes",'Data Tables'!Y22,'Data Tables'!Z22),IF($X$22="800-850",IF($X$23="Yes",'Data Tables'!Y22,'Data Tables'!Z22),IF($X$22="850-900",IF($X$23="Yes",'Data Tables'!Y22,'Data Tables'!Z22),IF($X$22="900-950",IF($X$23="Yes",'Data Tables'!AE22,'Data Tables'!AF22),IF($X$22="950-1000",IF($X$23="Yes",'Data Tables'!AE22,'Data Tables'!AF22),IF($X$22="1000-1100",IF($X$23="Yes",'Data Tables'!AE22,'Data Tables'!AF22),IF($X$22="1100-1200",IF($X$23="Yes",'Data Tables'!AE22,'Data Tables'!AF22),IF($X$23="Yes",'Data Tables'!AK22,'Data Tables'!AL22))))))))))))))),""),""),"")</f>
        <v/>
      </c>
      <c r="AA34" s="202" t="str">
        <f>IF($X$15="Yes",IF($X34="Yes",IF($X$20="Brue &amp; Axe",IF($X$21="Freely draining",IF($X$22="650-675",IF($X$23="Yes",'Data Tables'!O34,'Data Tables'!P34),IF($X$22="675-700",IF($X$23="Yes",'Data Tables'!O34,'Data Tables'!P34),IF($X$22="700-750",IF($X$23="Yes",'Data Tables'!U34,'Data Tables'!V34),IF($X$22="750-800",IF($X$23="Yes",'Data Tables'!U34,'Data Tables'!V34),IF($X$22="800-850",IF($X$23="Yes",'Data Tables'!U34,'Data Tables'!V34),IF($X$22="850-900",IF($X$23="Yes",'Data Tables'!U34,'Data Tables'!V34),IF($X$22="900-950",IF($X$23="Yes",'Data Tables'!AA34,'Data Tables'!AB34),IF($X$22="950-1000",IF($X$23="Yes",'Data Tables'!AA34,'Data Tables'!AB34),IF($X$22="1000-1100",IF($X$23="Yes",'Data Tables'!AA34,'Data Tables'!AB34),IF($X$22="1100-1200",IF($X$23="Yes",'Data Tables'!AA34,'Data Tables'!AB34),IF($X$23="Yes",'Data Tables'!AG34,'Data Tables'!AH34))))))))))),IF($X$21="Impermeable - drained for arable",IF($X$22="650-675",IF($X$23="Yes",'Data Tables'!Q34,'Data Tables'!R34),IF($X$22="675-700",IF($X$23="Yes",'Data Tables'!Q34,'Data Tables'!R34),IF($X$22="700-750",IF($X$23="Yes",'Data Tables'!W34,'Data Tables'!X34),IF($X$22="750-800",IF($X$23="Yes",'Data Tables'!W34,'Data Tables'!X34),IF($X$22="800-850",IF($X$23="Yes",'Data Tables'!W34,'Data Tables'!X34),IF($X$22="850-900",IF($X$23="Yes",'Data Tables'!W34,'Data Tables'!X34),IF($X$22="900-950",IF($X$23="Yes",'Data Tables'!AC34,'Data Tables'!AD34),IF($X$22="950-1000",IF($X$23="Yes",'Data Tables'!AC34,'Data Tables'!AD34),IF($X$22="1000-1100",IF($X$23="Yes",'Data Tables'!AC34,'Data Tables'!AD34),IF($X$22="1100-1200",IF($X$23="Yes",'Data Tables'!AC34,'Data Tables'!AD34),IF($X$23="Yes",'Data Tables'!AI34,'Data Tables'!AJ34))))))))))),IF($X$22="650-675",IF($X$23="Yes",'Data Tables'!S34,'Data Tables'!T34),IF($X$22="675-700",IF($X$23="Yes",'Data Tables'!S34,'Data Tables'!T34),IF($X$22="700-750",IF($X$23="Yes",'Data Tables'!Y34,'Data Tables'!Z34),IF($X$22="750-800",IF($X$23="Yes",'Data Tables'!Y34,'Data Tables'!Z34),IF($X$22="800-850",IF($X$23="Yes",'Data Tables'!Y34,'Data Tables'!Z34),IF($X$22="850-900",IF($X$23="Yes",'Data Tables'!Y34,'Data Tables'!Z34),IF($X$22="900-950",IF($X$23="Yes",'Data Tables'!AE34,'Data Tables'!AF34),IF($X$22="950-1000",IF($X$23="Yes",'Data Tables'!AE34,'Data Tables'!AF34),IF($X$22="1000-1100",IF($X$23="Yes",'Data Tables'!AE34,'Data Tables'!AF34),IF($X$22="1100-1200",IF($X$23="Yes",'Data Tables'!AE34,'Data Tables'!AF34),IF($X$23="Yes",'Data Tables'!AK34,'Data Tables'!AL34))))))))))))),""),""),"")</f>
        <v/>
      </c>
      <c r="AB34" s="223"/>
      <c r="AE34" s="82"/>
      <c r="AF34" s="82"/>
      <c r="AG34" s="82"/>
      <c r="AH34" s="82"/>
      <c r="AI34" s="82"/>
      <c r="AJ34" s="82"/>
      <c r="AK34" s="82"/>
      <c r="AL34" s="82"/>
      <c r="AM34" s="82"/>
      <c r="AN34" s="82"/>
      <c r="AO34" s="82"/>
      <c r="AP34" s="82"/>
      <c r="AQ34" s="82"/>
      <c r="AS34" s="82"/>
      <c r="AT34" s="82"/>
      <c r="AU34" s="82"/>
      <c r="AV34" s="82"/>
      <c r="AW34" s="82"/>
      <c r="AX34" s="82"/>
      <c r="AY34" s="82"/>
      <c r="AZ34" s="82"/>
    </row>
    <row r="35" spans="2:52" ht="15.95" customHeight="1">
      <c r="B35" s="44"/>
      <c r="C35" s="40"/>
      <c r="D35" s="149"/>
      <c r="E35" s="437" t="str">
        <f>'Stage 2'!F29</f>
        <v>Cereals</v>
      </c>
      <c r="F35" s="437"/>
      <c r="G35" s="437"/>
      <c r="H35" s="437"/>
      <c r="I35" s="437"/>
      <c r="J35" s="103"/>
      <c r="K35" s="225" t="str">
        <f>IF('Stage 2'!$K29&gt;0,SUM('Stage 2'!$O29,'Stage 2'!$P29,'Stage 2'!$Q29)/'Stage 2'!$K29,"")</f>
        <v/>
      </c>
      <c r="L35" s="310"/>
      <c r="M35" s="152"/>
      <c r="N35" s="160" t="s">
        <v>175</v>
      </c>
      <c r="O35" s="161" t="s">
        <v>298</v>
      </c>
      <c r="P35" s="179"/>
      <c r="Q35" s="47"/>
      <c r="R35" s="47"/>
      <c r="S35" s="437" t="str">
        <f t="shared" si="0"/>
        <v>Cereals</v>
      </c>
      <c r="T35" s="437"/>
      <c r="U35" s="437"/>
      <c r="V35" s="437"/>
      <c r="W35" s="437"/>
      <c r="X35" s="160" t="s">
        <v>175</v>
      </c>
      <c r="Y35" s="202" t="str">
        <f>IF($X$15="Yes",IF($X35="Yes",IF($X$20="Tone",((IF($X$21="Freely draining",IF($X$22="650-675",IF($X$23="Yes",'Data Tables'!O11,'Data Tables'!P11),IF($X$22="675-700",IF($X$23="Yes",'Data Tables'!O11,'Data Tables'!P11),IF($X$22="700-750",IF($X$23="Yes",'Data Tables'!U11,'Data Tables'!V11),IF($X$22="750-800",IF($X$23="Yes",'Data Tables'!U11,'Data Tables'!V11),IF($X$22="800-850",IF($X$23="Yes",'Data Tables'!U11,'Data Tables'!V11),IF($X$22="850-900",IF($X$23="Yes",'Data Tables'!U11,'Data Tables'!V11),IF($X$22="900-950",IF($X$23="Yes",'Data Tables'!AA11,'Data Tables'!AB11),IF($X$22="950-1000",IF($X$23="Yes",'Data Tables'!AA11,'Data Tables'!AB11),IF($X$22="1000-1100",IF($X$23="Yes",'Data Tables'!AA11,'Data Tables'!AB11),IF($X$22="1100-1200",IF($X$23="Yes",'Data Tables'!AA11,'Data Tables'!AB11),IF($X$23="Yes",'Data Tables'!AG11,'Data Tables'!AH11))))))))))),IF($X$21="Impermeable - drained for arable",IF($X$22="650-675",IF($X$23="Yes",'Data Tables'!Q11,'Data Tables'!R11),IF($X$22="675-700",IF($X$23="Yes",'Data Tables'!Q11,'Data Tables'!R11),IF($X$22="700-750",IF($X$23="Yes",'Data Tables'!W11,'Data Tables'!X11),IF($X$22="750-800",IF($X$23="Yes",'Data Tables'!W11,'Data Tables'!X11),IF($X$22="800-850",IF($X$23="Yes",'Data Tables'!W11,'Data Tables'!X11),IF($X$22="850-900",IF($X$23="Yes",'Data Tables'!W11,'Data Tables'!X11),IF($X$22="900-950",IF($X$23="Yes",'Data Tables'!AC11,'Data Tables'!AD11),IF($X$22="950-1000",IF($X$23="Yes",'Data Tables'!AC11,'Data Tables'!AD11),IF($X$22="1000-1100",IF($X$23="Yes",'Data Tables'!AC11,'Data Tables'!AD11),IF($X$22="1100-1200",IF($X$23="Yes",'Data Tables'!AC11,'Data Tables'!AD11),IF($X$23="Yes",'Data Tables'!AI11,'Data Tables'!AJ11))))))))))),IF($X$22="650-675",IF($X$23="Yes",'Data Tables'!S11,'Data Tables'!T11),IF($X$22="675-700",IF($X$23="Yes",'Data Tables'!S11,'Data Tables'!T11),IF($X$22="700-750",IF($X$23="Yes",'Data Tables'!Y11,'Data Tables'!Z11),IF($X$22="750-800",IF($X$23="Yes",'Data Tables'!Y11,'Data Tables'!Z11),IF($X$22="800-850",IF($X$23="Yes",'Data Tables'!Y11,'Data Tables'!Z11),IF($X$22="850-900",IF($X$23="Yes",'Data Tables'!Y11,'Data Tables'!Z11),IF($X$22="900-950",IF($X$23="Yes",'Data Tables'!AE11,'Data Tables'!AF11),IF($X$22="950-1000",IF($X$23="Yes",'Data Tables'!AE11,'Data Tables'!AF11),IF($X$22="1000-1100",IF($X$23="Yes",'Data Tables'!AE11,'Data Tables'!AF11),IF($X$22="1100-1200",IF($X$23="Yes",'Data Tables'!AE11,'Data Tables'!AF11),IF($X$23="Yes",'Data Tables'!AK11,'Data Tables'!AL11))))))))))))))),""),""),"")</f>
        <v/>
      </c>
      <c r="Z35" s="202" t="str">
        <f>IF($X$15="Yes",IF($X35="Yes",IF($X$20="Parrett",((IF($X$21="Freely draining",IF($X$22="650-675",IF($X$23="Yes",'Data Tables'!O23,'Data Tables'!P23),IF($X$22="675-700",IF($X$23="Yes",'Data Tables'!O23,'Data Tables'!P23),IF($X$22="700-750",IF($X$23="Yes",'Data Tables'!U23,'Data Tables'!V23),IF($X$22="750-800",IF($X$23="Yes",'Data Tables'!U23,'Data Tables'!V23),IF($X$22="800-850",IF($X$23="Yes",'Data Tables'!U23,'Data Tables'!V23),IF($X$22="850-900",IF($X$23="Yes",'Data Tables'!U23,'Data Tables'!V23),IF($X$22="900-950",IF($X$23="Yes",'Data Tables'!AA23,'Data Tables'!AB23),IF($X$22="950-1000",IF($X$23="Yes",'Data Tables'!AA23,'Data Tables'!AB23),IF($X$22="1000-1100",IF($X$23="Yes",'Data Tables'!AA23,'Data Tables'!AB23),IF($X$22="1100-1200",IF($X$23="Yes",'Data Tables'!AA23,'Data Tables'!AB23),IF($X$23="Yes",'Data Tables'!AG23,'Data Tables'!AH23))))))))))),IF($X$21="Impermeable - drained for arable",IF($X$22="650-675",IF($X$23="Yes",'Data Tables'!Q23,'Data Tables'!R23),IF($X$22="675-700",IF($X$23="Yes",'Data Tables'!Q23,'Data Tables'!R23),IF($X$22="700-750",IF($X$23="Yes",'Data Tables'!W23,'Data Tables'!X23),IF($X$22="750-800",IF($X$23="Yes",'Data Tables'!W23,'Data Tables'!X23),IF($X$22="800-850",IF($X$23="Yes",'Data Tables'!W23,'Data Tables'!X23),IF($X$22="850-900",IF($X$23="Yes",'Data Tables'!W23,'Data Tables'!X23),IF($X$22="900-950",IF($X$23="Yes",'Data Tables'!AC23,'Data Tables'!AD23),IF($X$22="950-1000",IF($X$23="Yes",'Data Tables'!AC23,'Data Tables'!AD23),IF($X$22="1000-1100",IF($X$23="Yes",'Data Tables'!AC23,'Data Tables'!AD23),IF($X$22="1100-1200",IF($X$23="Yes",'Data Tables'!AC23,'Data Tables'!AD23),IF($X$23="Yes",'Data Tables'!AI23,'Data Tables'!AJ23))))))))))),IF($X$22="650-675",IF($X$23="Yes",'Data Tables'!S23,'Data Tables'!T23),IF($X$22="675-700",IF($X$23="Yes",'Data Tables'!S23,'Data Tables'!T23),IF($X$22="700-750",IF($X$23="Yes",'Data Tables'!Y23,'Data Tables'!Z23),IF($X$22="750-800",IF($X$23="Yes",'Data Tables'!Y23,'Data Tables'!Z23),IF($X$22="800-850",IF($X$23="Yes",'Data Tables'!Y23,'Data Tables'!Z23),IF($X$22="850-900",IF($X$23="Yes",'Data Tables'!Y23,'Data Tables'!Z23),IF($X$22="900-950",IF($X$23="Yes",'Data Tables'!AE23,'Data Tables'!AF23),IF($X$22="950-1000",IF($X$23="Yes",'Data Tables'!AE23,'Data Tables'!AF23),IF($X$22="1000-1100",IF($X$23="Yes",'Data Tables'!AE23,'Data Tables'!AF23),IF($X$22="1100-1200",IF($X$23="Yes",'Data Tables'!AE23,'Data Tables'!AF23),IF($X$23="Yes",'Data Tables'!AK23,'Data Tables'!AL23))))))))))))))),""),""),"")</f>
        <v/>
      </c>
      <c r="AA35" s="202" t="str">
        <f>IF($X$15="Yes",IF($X35="Yes",IF($X$20="Brue &amp; Axe",IF($X$21="Freely draining",IF($X$22="650-675",IF($X$23="Yes",'Data Tables'!O35,'Data Tables'!P35),IF($X$22="675-700",IF($X$23="Yes",'Data Tables'!O35,'Data Tables'!P35),IF($X$22="700-750",IF($X$23="Yes",'Data Tables'!U35,'Data Tables'!V35),IF($X$22="750-800",IF($X$23="Yes",'Data Tables'!U35,'Data Tables'!V35),IF($X$22="800-850",IF($X$23="Yes",'Data Tables'!U35,'Data Tables'!V35),IF($X$22="850-900",IF($X$23="Yes",'Data Tables'!U35,'Data Tables'!V35),IF($X$22="900-950",IF($X$23="Yes",'Data Tables'!AA35,'Data Tables'!AB35),IF($X$22="950-1000",IF($X$23="Yes",'Data Tables'!AA35,'Data Tables'!AB35),IF($X$22="1000-1100",IF($X$23="Yes",'Data Tables'!AA35,'Data Tables'!AB35),IF($X$22="1100-1200",IF($X$23="Yes",'Data Tables'!AA35,'Data Tables'!AB35),IF($X$23="Yes",'Data Tables'!AG35,'Data Tables'!AH35))))))))))),IF($X$21="Impermeable - drained for arable",IF($X$22="650-675",IF($X$23="Yes",'Data Tables'!Q35,'Data Tables'!R35),IF($X$22="675-700",IF($X$23="Yes",'Data Tables'!Q35,'Data Tables'!R35),IF($X$22="700-750",IF($X$23="Yes",'Data Tables'!W35,'Data Tables'!X35),IF($X$22="750-800",IF($X$23="Yes",'Data Tables'!W35,'Data Tables'!X35),IF($X$22="800-850",IF($X$23="Yes",'Data Tables'!W35,'Data Tables'!X35),IF($X$22="850-900",IF($X$23="Yes",'Data Tables'!W35,'Data Tables'!X35),IF($X$22="900-950",IF($X$23="Yes",'Data Tables'!AC35,'Data Tables'!AD35),IF($X$22="950-1000",IF($X$23="Yes",'Data Tables'!AC35,'Data Tables'!AD35),IF($X$22="1000-1100",IF($X$23="Yes",'Data Tables'!AC35,'Data Tables'!AD35),IF($X$22="1100-1200",IF($X$23="Yes",'Data Tables'!AC35,'Data Tables'!AD35),IF($X$23="Yes",'Data Tables'!AI35,'Data Tables'!AJ35))))))))))),IF($X$22="650-675",IF($X$23="Yes",'Data Tables'!S35,'Data Tables'!T35),IF($X$22="675-700",IF($X$23="Yes",'Data Tables'!S35,'Data Tables'!T35),IF($X$22="700-750",IF($X$23="Yes",'Data Tables'!Y35,'Data Tables'!Z35),IF($X$22="750-800",IF($X$23="Yes",'Data Tables'!Y35,'Data Tables'!Z35),IF($X$22="800-850",IF($X$23="Yes",'Data Tables'!Y35,'Data Tables'!Z35),IF($X$22="850-900",IF($X$23="Yes",'Data Tables'!Y35,'Data Tables'!Z35),IF($X$22="900-950",IF($X$23="Yes",'Data Tables'!AE35,'Data Tables'!AF35),IF($X$22="950-1000",IF($X$23="Yes",'Data Tables'!AE35,'Data Tables'!AF35),IF($X$22="1000-1100",IF($X$23="Yes",'Data Tables'!AE35,'Data Tables'!AF35),IF($X$22="1100-1200",IF($X$23="Yes",'Data Tables'!AE35,'Data Tables'!AF35),IF($X$23="Yes",'Data Tables'!AK35,'Data Tables'!AL35))))))))))))),""),""),"")</f>
        <v/>
      </c>
      <c r="AB35" s="223"/>
      <c r="AE35" s="82"/>
      <c r="AF35" s="82"/>
      <c r="AG35" s="82"/>
      <c r="AH35" s="82"/>
      <c r="AI35" s="82"/>
      <c r="AJ35" s="82"/>
      <c r="AK35" s="82"/>
      <c r="AL35" s="82"/>
      <c r="AM35" s="82"/>
      <c r="AN35" s="82"/>
      <c r="AO35" s="82"/>
      <c r="AP35" s="82"/>
      <c r="AQ35" s="82"/>
      <c r="AS35" s="82"/>
      <c r="AT35" s="82"/>
      <c r="AU35" s="82"/>
      <c r="AV35" s="82"/>
      <c r="AW35" s="82"/>
      <c r="AX35" s="82"/>
      <c r="AY35" s="82"/>
      <c r="AZ35" s="82"/>
    </row>
    <row r="36" spans="2:52" ht="15.95" customHeight="1">
      <c r="B36" s="44"/>
      <c r="C36" s="40"/>
      <c r="D36" s="149"/>
      <c r="E36" s="437" t="str">
        <f>'Stage 2'!F30</f>
        <v>General arable</v>
      </c>
      <c r="F36" s="437"/>
      <c r="G36" s="437"/>
      <c r="H36" s="437"/>
      <c r="I36" s="437"/>
      <c r="J36" s="103"/>
      <c r="K36" s="225" t="str">
        <f>IF('Stage 2'!$K30&gt;0,SUM('Stage 2'!$O30,'Stage 2'!$P30,'Stage 2'!$Q30)/'Stage 2'!$K30,"")</f>
        <v/>
      </c>
      <c r="L36" s="310"/>
      <c r="M36" s="152"/>
      <c r="N36" s="160" t="s">
        <v>175</v>
      </c>
      <c r="O36" s="161" t="s">
        <v>298</v>
      </c>
      <c r="P36" s="179"/>
      <c r="Q36" s="47"/>
      <c r="R36" s="47"/>
      <c r="S36" s="437" t="str">
        <f t="shared" si="0"/>
        <v>General arable</v>
      </c>
      <c r="T36" s="437"/>
      <c r="U36" s="437"/>
      <c r="V36" s="437"/>
      <c r="W36" s="437"/>
      <c r="X36" s="160" t="s">
        <v>175</v>
      </c>
      <c r="Y36" s="202" t="str">
        <f>IF($X$15="Yes",IF($X36="Yes",IF($X$20="Tone",((IF($X$21="Freely draining",IF($X$22="650-675",IF($X$23="Yes",'Data Tables'!O12,'Data Tables'!P12),IF($X$22="675-700",IF($X$23="Yes",'Data Tables'!O12,'Data Tables'!P12),IF($X$22="700-750",IF($X$23="Yes",'Data Tables'!U12,'Data Tables'!V12),IF($X$22="750-800",IF($X$23="Yes",'Data Tables'!U12,'Data Tables'!V12),IF($X$22="800-850",IF($X$23="Yes",'Data Tables'!U12,'Data Tables'!V12),IF($X$22="850-900",IF($X$23="Yes",'Data Tables'!U12,'Data Tables'!V12),IF($X$22="900-950",IF($X$23="Yes",'Data Tables'!AA12,'Data Tables'!AB12),IF($X$22="950-1000",IF($X$23="Yes",'Data Tables'!AA12,'Data Tables'!AB12),IF($X$22="1000-1100",IF($X$23="Yes",'Data Tables'!AA12,'Data Tables'!AB12),IF($X$22="1100-1200",IF($X$23="Yes",'Data Tables'!AA12,'Data Tables'!AB12),IF($X$23="Yes",'Data Tables'!AG12,'Data Tables'!AH12))))))))))),IF($X$21="Impermeable - drained for arable",IF($X$22="650-675",IF($X$23="Yes",'Data Tables'!Q12,'Data Tables'!R12),IF($X$22="675-700",IF($X$23="Yes",'Data Tables'!Q12,'Data Tables'!R12),IF($X$22="700-750",IF($X$23="Yes",'Data Tables'!W12,'Data Tables'!X12),IF($X$22="750-800",IF($X$23="Yes",'Data Tables'!W12,'Data Tables'!X12),IF($X$22="800-850",IF($X$23="Yes",'Data Tables'!W12,'Data Tables'!X12),IF($X$22="850-900",IF($X$23="Yes",'Data Tables'!W12,'Data Tables'!X12),IF($X$22="900-950",IF($X$23="Yes",'Data Tables'!AC12,'Data Tables'!AD12),IF($X$22="950-1000",IF($X$23="Yes",'Data Tables'!AC12,'Data Tables'!AD12),IF($X$22="1000-1100",IF($X$23="Yes",'Data Tables'!AC12,'Data Tables'!AD12),IF($X$22="1100-1200",IF($X$23="Yes",'Data Tables'!AC12,'Data Tables'!AD12),IF($X$23="Yes",'Data Tables'!AI12,'Data Tables'!AJ12))))))))))),IF($X$22="650-675",IF($X$23="Yes",'Data Tables'!S12,'Data Tables'!T12),IF($X$22="675-700",IF($X$23="Yes",'Data Tables'!S12,'Data Tables'!T12),IF($X$22="700-750",IF($X$23="Yes",'Data Tables'!Y12,'Data Tables'!Z12),IF($X$22="750-800",IF($X$23="Yes",'Data Tables'!Y12,'Data Tables'!Z12),IF($X$22="800-850",IF($X$23="Yes",'Data Tables'!Y12,'Data Tables'!Z12),IF($X$22="850-900",IF($X$23="Yes",'Data Tables'!Y12,'Data Tables'!Z12),IF($X$22="900-950",IF($X$23="Yes",'Data Tables'!AE12,'Data Tables'!AF12),IF($X$22="950-1000",IF($X$23="Yes",'Data Tables'!AE12,'Data Tables'!AF12),IF($X$22="1000-1100",IF($X$23="Yes",'Data Tables'!AE12,'Data Tables'!AF12),IF($X$22="1100-1200",IF($X$23="Yes",'Data Tables'!AE12,'Data Tables'!AF12),IF($X$23="Yes",'Data Tables'!AK12,'Data Tables'!AL12))))))))))))))),""),""),"")</f>
        <v/>
      </c>
      <c r="Z36" s="202" t="str">
        <f>IF($X$15="Yes",IF($X36="Yes",IF($X$20="Parrett",((IF($X$21="Freely draining",IF($X$22="650-675",IF($X$23="Yes",'Data Tables'!O24,'Data Tables'!P24),IF($X$22="675-700",IF($X$23="Yes",'Data Tables'!O24,'Data Tables'!P24),IF($X$22="700-750",IF($X$23="Yes",'Data Tables'!U24,'Data Tables'!V24),IF($X$22="750-800",IF($X$23="Yes",'Data Tables'!U24,'Data Tables'!V24),IF($X$22="800-850",IF($X$23="Yes",'Data Tables'!U24,'Data Tables'!V24),IF($X$22="850-900",IF($X$23="Yes",'Data Tables'!U24,'Data Tables'!V24),IF($X$22="900-950",IF($X$23="Yes",'Data Tables'!AA24,'Data Tables'!AB24),IF($X$22="950-1000",IF($X$23="Yes",'Data Tables'!AA24,'Data Tables'!AB24),IF($X$22="1000-1100",IF($X$23="Yes",'Data Tables'!AA24,'Data Tables'!AB24),IF($X$22="1100-1200",IF($X$23="Yes",'Data Tables'!AA24,'Data Tables'!AB24),IF($X$23="Yes",'Data Tables'!AG24,'Data Tables'!AH24))))))))))),IF($X$21="Impermeable - drained for arable",IF($X$22="650-675",IF($X$23="Yes",'Data Tables'!Q24,'Data Tables'!R24),IF($X$22="675-700",IF($X$23="Yes",'Data Tables'!Q24,'Data Tables'!R24),IF($X$22="700-750",IF($X$23="Yes",'Data Tables'!W24,'Data Tables'!X24),IF($X$22="750-800",IF($X$23="Yes",'Data Tables'!W24,'Data Tables'!X24),IF($X$22="800-850",IF($X$23="Yes",'Data Tables'!W24,'Data Tables'!X24),IF($X$22="850-900",IF($X$23="Yes",'Data Tables'!W24,'Data Tables'!X24),IF($X$22="900-950",IF($X$23="Yes",'Data Tables'!AC24,'Data Tables'!AD24),IF($X$22="950-1000",IF($X$23="Yes",'Data Tables'!AC24,'Data Tables'!AD24),IF($X$22="1000-1100",IF($X$23="Yes",'Data Tables'!AC24,'Data Tables'!AD24),IF($X$22="1100-1200",IF($X$23="Yes",'Data Tables'!AC24,'Data Tables'!AD24),IF($X$23="Yes",'Data Tables'!AI24,'Data Tables'!AJ24))))))))))),IF($X$22="650-675",IF($X$23="Yes",'Data Tables'!S24,'Data Tables'!T24),IF($X$22="675-700",IF($X$23="Yes",'Data Tables'!S24,'Data Tables'!T24),IF($X$22="700-750",IF($X$23="Yes",'Data Tables'!Y24,'Data Tables'!Z24),IF($X$22="750-800",IF($X$23="Yes",'Data Tables'!Y24,'Data Tables'!Z24),IF($X$22="800-850",IF($X$23="Yes",'Data Tables'!Y24,'Data Tables'!Z24),IF($X$22="850-900",IF($X$23="Yes",'Data Tables'!Y24,'Data Tables'!Z24),IF($X$22="900-950",IF($X$23="Yes",'Data Tables'!AE24,'Data Tables'!AF24),IF($X$22="950-1000",IF($X$23="Yes",'Data Tables'!AE24,'Data Tables'!AF24),IF($X$22="1000-1100",IF($X$23="Yes",'Data Tables'!AE24,'Data Tables'!AF24),IF($X$22="1100-1200",IF($X$23="Yes",'Data Tables'!AE24,'Data Tables'!AF24),IF($X$23="Yes",'Data Tables'!AK24,'Data Tables'!AL24))))))))))))))),""),""),"")</f>
        <v/>
      </c>
      <c r="AA36" s="202" t="str">
        <f>IF($X$15="Yes",IF($X36="Yes",IF($X$20="Brue &amp; Axe",IF($X$21="Freely draining",IF($X$22="650-675",IF($X$23="Yes",'Data Tables'!O36,'Data Tables'!P36),IF($X$22="675-700",IF($X$23="Yes",'Data Tables'!O36,'Data Tables'!P36),IF($X$22="700-750",IF($X$23="Yes",'Data Tables'!U36,'Data Tables'!V36),IF($X$22="750-800",IF($X$23="Yes",'Data Tables'!U36,'Data Tables'!V36),IF($X$22="800-850",IF($X$23="Yes",'Data Tables'!U36,'Data Tables'!V36),IF($X$22="850-900",IF($X$23="Yes",'Data Tables'!U36,'Data Tables'!V36),IF($X$22="900-950",IF($X$23="Yes",'Data Tables'!AA36,'Data Tables'!AB36),IF($X$22="950-1000",IF($X$23="Yes",'Data Tables'!AA36,'Data Tables'!AB36),IF($X$22="1000-1100",IF($X$23="Yes",'Data Tables'!AA36,'Data Tables'!AB36),IF($X$22="1100-1200",IF($X$23="Yes",'Data Tables'!AA36,'Data Tables'!AB36),IF($X$23="Yes",'Data Tables'!AG36,'Data Tables'!AH36))))))))))),IF($X$21="Impermeable - drained for arable",IF($X$22="650-675",IF($X$23="Yes",'Data Tables'!Q36,'Data Tables'!R36),IF($X$22="675-700",IF($X$23="Yes",'Data Tables'!Q36,'Data Tables'!R36),IF($X$22="700-750",IF($X$23="Yes",'Data Tables'!W36,'Data Tables'!X36),IF($X$22="750-800",IF($X$23="Yes",'Data Tables'!W36,'Data Tables'!X36),IF($X$22="800-850",IF($X$23="Yes",'Data Tables'!W36,'Data Tables'!X36),IF($X$22="850-900",IF($X$23="Yes",'Data Tables'!W36,'Data Tables'!X36),IF($X$22="900-950",IF($X$23="Yes",'Data Tables'!AC36,'Data Tables'!AD36),IF($X$22="950-1000",IF($X$23="Yes",'Data Tables'!AC36,'Data Tables'!AD36),IF($X$22="1000-1100",IF($X$23="Yes",'Data Tables'!AC36,'Data Tables'!AD36),IF($X$22="1100-1200",IF($X$23="Yes",'Data Tables'!AC36,'Data Tables'!AD36),IF($X$23="Yes",'Data Tables'!AI36,'Data Tables'!AJ36))))))))))),IF($X$22="650-675",IF($X$23="Yes",'Data Tables'!S36,'Data Tables'!T36),IF($X$22="675-700",IF($X$23="Yes",'Data Tables'!S36,'Data Tables'!T36),IF($X$22="700-750",IF($X$23="Yes",'Data Tables'!Y36,'Data Tables'!Z36),IF($X$22="750-800",IF($X$23="Yes",'Data Tables'!Y36,'Data Tables'!Z36),IF($X$22="800-850",IF($X$23="Yes",'Data Tables'!Y36,'Data Tables'!Z36),IF($X$22="850-900",IF($X$23="Yes",'Data Tables'!Y36,'Data Tables'!Z36),IF($X$22="900-950",IF($X$23="Yes",'Data Tables'!AE36,'Data Tables'!AF36),IF($X$22="950-1000",IF($X$23="Yes",'Data Tables'!AE36,'Data Tables'!AF36),IF($X$22="1000-1100",IF($X$23="Yes",'Data Tables'!AE36,'Data Tables'!AF36),IF($X$22="1100-1200",IF($X$23="Yes",'Data Tables'!AE36,'Data Tables'!AF36),IF($X$23="Yes",'Data Tables'!AK36,'Data Tables'!AL36))))))))))))),""),""),"")</f>
        <v/>
      </c>
      <c r="AB36" s="223"/>
      <c r="AE36" s="82"/>
      <c r="AF36" s="82"/>
      <c r="AG36" s="82"/>
      <c r="AH36" s="82"/>
      <c r="AI36" s="82"/>
      <c r="AJ36" s="82"/>
      <c r="AK36" s="82"/>
      <c r="AL36" s="82"/>
      <c r="AM36" s="82"/>
      <c r="AN36" s="82"/>
      <c r="AO36" s="82"/>
      <c r="AP36" s="82"/>
      <c r="AQ36" s="82"/>
      <c r="AS36" s="82"/>
      <c r="AT36" s="82"/>
      <c r="AU36" s="82"/>
      <c r="AV36" s="82"/>
      <c r="AW36" s="82"/>
      <c r="AX36" s="82"/>
      <c r="AY36" s="82"/>
      <c r="AZ36" s="82"/>
    </row>
    <row r="37" spans="2:52" ht="15.95" customHeight="1">
      <c r="B37" s="44"/>
      <c r="C37" s="40"/>
      <c r="D37" s="149"/>
      <c r="E37" s="437" t="str">
        <f>'Stage 2'!F31</f>
        <v>Allotments and city farms</v>
      </c>
      <c r="F37" s="437"/>
      <c r="G37" s="437"/>
      <c r="H37" s="437"/>
      <c r="I37" s="437"/>
      <c r="J37" s="103"/>
      <c r="K37" s="225" t="str">
        <f>IF('Stage 2'!$K31&gt;0,SUM('Stage 2'!$O31,'Stage 2'!$P31,'Stage 2'!$Q31)/'Stage 2'!$K31,"")</f>
        <v/>
      </c>
      <c r="L37" s="310"/>
      <c r="M37" s="188"/>
      <c r="N37" s="160" t="s">
        <v>175</v>
      </c>
      <c r="O37" s="161" t="s">
        <v>298</v>
      </c>
      <c r="P37" s="179"/>
      <c r="Q37" s="47"/>
      <c r="R37" s="47"/>
      <c r="S37" s="437" t="str">
        <f t="shared" si="0"/>
        <v>Allotments and city farms</v>
      </c>
      <c r="T37" s="437"/>
      <c r="U37" s="437"/>
      <c r="V37" s="437"/>
      <c r="W37" s="437"/>
      <c r="X37" s="160" t="s">
        <v>175</v>
      </c>
      <c r="Y37" s="202" t="str">
        <f>IF($X$15="Yes",IF($X37="Yes",IF($X$20="Tone",((IF($X$21="Freely draining",IF($X$22="650-675",IF($X$23="Yes",'Data Tables'!O13,'Data Tables'!P13),IF($X$22="675-700",IF($X$23="Yes",'Data Tables'!O13,'Data Tables'!P13),IF($X$22="700-750",IF($X$23="Yes",'Data Tables'!U13,'Data Tables'!V13),IF($X$22="750-800",IF($X$23="Yes",'Data Tables'!U13,'Data Tables'!V13),IF($X$22="800-850",IF($X$23="Yes",'Data Tables'!U13,'Data Tables'!V13),IF($X$22="850-900",IF($X$23="Yes",'Data Tables'!U13,'Data Tables'!V13),IF($X$22="900-950",IF($X$23="Yes",'Data Tables'!AA13,'Data Tables'!AB13),IF($X$22="950-1000",IF($X$23="Yes",'Data Tables'!AA13,'Data Tables'!AB13),IF($X$22="1000-1100",IF($X$23="Yes",'Data Tables'!AA13,'Data Tables'!AB13),IF($X$22="1100-1200",IF($X$23="Yes",'Data Tables'!AA13,'Data Tables'!AB13),IF($X$23="Yes",'Data Tables'!AG13,'Data Tables'!AH13))))))))))),IF($X$21="Impermeable - drained for arable",IF($X$22="650-675",IF($X$23="Yes",'Data Tables'!Q13,'Data Tables'!R13),IF($X$22="675-700",IF($X$23="Yes",'Data Tables'!Q13,'Data Tables'!R13),IF($X$22="700-750",IF($X$23="Yes",'Data Tables'!W13,'Data Tables'!X13),IF($X$22="750-800",IF($X$23="Yes",'Data Tables'!W13,'Data Tables'!X13),IF($X$22="800-850",IF($X$23="Yes",'Data Tables'!W13,'Data Tables'!X13),IF($X$22="850-900",IF($X$23="Yes",'Data Tables'!W13,'Data Tables'!X13),IF($X$22="900-950",IF($X$23="Yes",'Data Tables'!AC13,'Data Tables'!AD13),IF($X$22="950-1000",IF($X$23="Yes",'Data Tables'!AC13,'Data Tables'!AD13),IF($X$22="1000-1100",IF($X$23="Yes",'Data Tables'!AC13,'Data Tables'!AD13),IF($X$22="1100-1200",IF($X$23="Yes",'Data Tables'!AC13,'Data Tables'!AD13),IF($X$23="Yes",'Data Tables'!AI13,'Data Tables'!AJ13))))))))))),IF($X$22="650-675",IF($X$23="Yes",'Data Tables'!S13,'Data Tables'!T13),IF($X$22="675-700",IF($X$23="Yes",'Data Tables'!S13,'Data Tables'!T13),IF($X$22="700-750",IF($X$23="Yes",'Data Tables'!Y13,'Data Tables'!Z13),IF($X$22="750-800",IF($X$23="Yes",'Data Tables'!Y13,'Data Tables'!Z13),IF($X$22="800-850",IF($X$23="Yes",'Data Tables'!Y13,'Data Tables'!Z13),IF($X$22="850-900",IF($X$23="Yes",'Data Tables'!Y13,'Data Tables'!Z13),IF($X$22="900-950",IF($X$23="Yes",'Data Tables'!AE13,'Data Tables'!AF13),IF($X$22="950-1000",IF($X$23="Yes",'Data Tables'!AE13,'Data Tables'!AF13),IF($X$22="1000-1100",IF($X$23="Yes",'Data Tables'!AE13,'Data Tables'!AF13),IF($X$22="1100-1200",IF($X$23="Yes",'Data Tables'!AE13,'Data Tables'!AF13),IF($X$23="Yes",'Data Tables'!AK13,'Data Tables'!AL13))))))))))))))),""),""),"")</f>
        <v/>
      </c>
      <c r="Z37" s="202" t="str">
        <f>IF($X$15="Yes",IF($X37="Yes",IF($X$20="Parrett",((IF($X$21="Freely draining",IF($X$22="650-675",IF($X$23="Yes",'Data Tables'!O25,'Data Tables'!P25),IF($X$22="675-700",IF($X$23="Yes",'Data Tables'!O25,'Data Tables'!P25),IF($X$22="700-750",IF($X$23="Yes",'Data Tables'!U25,'Data Tables'!V25),IF($X$22="750-800",IF($X$23="Yes",'Data Tables'!U25,'Data Tables'!V25),IF($X$22="800-850",IF($X$23="Yes",'Data Tables'!U25,'Data Tables'!V25),IF($X$22="850-900",IF($X$23="Yes",'Data Tables'!U25,'Data Tables'!V25),IF($X$22="900-950",IF($X$23="Yes",'Data Tables'!AA25,'Data Tables'!AB25),IF($X$22="950-1000",IF($X$23="Yes",'Data Tables'!AA25,'Data Tables'!AB25),IF($X$22="1000-1100",IF($X$23="Yes",'Data Tables'!AA25,'Data Tables'!AB25),IF($X$22="1100-1200",IF($X$23="Yes",'Data Tables'!AA25,'Data Tables'!AB25),IF($X$23="Yes",'Data Tables'!AG25,'Data Tables'!AH25))))))))))),IF($X$21="Impermeable - drained for arable",IF($X$22="650-675",IF($X$23="Yes",'Data Tables'!Q25,'Data Tables'!R25),IF($X$22="675-700",IF($X$23="Yes",'Data Tables'!Q25,'Data Tables'!R25),IF($X$22="700-750",IF($X$23="Yes",'Data Tables'!W25,'Data Tables'!X25),IF($X$22="750-800",IF($X$23="Yes",'Data Tables'!W25,'Data Tables'!X25),IF($X$22="800-850",IF($X$23="Yes",'Data Tables'!W25,'Data Tables'!X25),IF($X$22="850-900",IF($X$23="Yes",'Data Tables'!W25,'Data Tables'!X25),IF($X$22="900-950",IF($X$23="Yes",'Data Tables'!AC25,'Data Tables'!AD25),IF($X$22="950-1000",IF($X$23="Yes",'Data Tables'!AC25,'Data Tables'!AD25),IF($X$22="1000-1100",IF($X$23="Yes",'Data Tables'!AC25,'Data Tables'!AD25),IF($X$22="1100-1200",IF($X$23="Yes",'Data Tables'!AC25,'Data Tables'!AD25),IF($X$23="Yes",'Data Tables'!AI25,'Data Tables'!AJ25))))))))))),IF($X$22="650-675",IF($X$23="Yes",'Data Tables'!S25,'Data Tables'!T25),IF($X$22="675-700",IF($X$23="Yes",'Data Tables'!S25,'Data Tables'!T25),IF($X$22="700-750",IF($X$23="Yes",'Data Tables'!Y25,'Data Tables'!Z25),IF($X$22="750-800",IF($X$23="Yes",'Data Tables'!Y25,'Data Tables'!Z25),IF($X$22="800-850",IF($X$23="Yes",'Data Tables'!Y25,'Data Tables'!Z25),IF($X$22="850-900",IF($X$23="Yes",'Data Tables'!Y25,'Data Tables'!Z25),IF($X$22="900-950",IF($X$23="Yes",'Data Tables'!AE25,'Data Tables'!AF25),IF($X$22="950-1000",IF($X$23="Yes",'Data Tables'!AE25,'Data Tables'!AF25),IF($X$22="1000-1100",IF($X$23="Yes",'Data Tables'!AE25,'Data Tables'!AF25),IF($X$22="1100-1200",IF($X$23="Yes",'Data Tables'!AE25,'Data Tables'!AF25),IF($X$23="Yes",'Data Tables'!AK25,'Data Tables'!AL25))))))))))))))),""),""),"")</f>
        <v/>
      </c>
      <c r="AA37" s="202" t="str">
        <f>IF($X$15="Yes",IF($X37="Yes",IF($X$20="Brue &amp; Axe",IF($X$21="Freely draining",IF($X$22="650-675",IF($X$23="Yes",'Data Tables'!O37,'Data Tables'!P37),IF($X$22="675-700",IF($X$23="Yes",'Data Tables'!O37,'Data Tables'!P37),IF($X$22="700-750",IF($X$23="Yes",'Data Tables'!U37,'Data Tables'!V37),IF($X$22="750-800",IF($X$23="Yes",'Data Tables'!U37,'Data Tables'!V37),IF($X$22="800-850",IF($X$23="Yes",'Data Tables'!U37,'Data Tables'!V37),IF($X$22="850-900",IF($X$23="Yes",'Data Tables'!U37,'Data Tables'!V37),IF($X$22="900-950",IF($X$23="Yes",'Data Tables'!AA37,'Data Tables'!AB37),IF($X$22="950-1000",IF($X$23="Yes",'Data Tables'!AA37,'Data Tables'!AB37),IF($X$22="1000-1100",IF($X$23="Yes",'Data Tables'!AA37,'Data Tables'!AB37),IF($X$22="1100-1200",IF($X$23="Yes",'Data Tables'!AA37,'Data Tables'!AB37),IF($X$23="Yes",'Data Tables'!AG37,'Data Tables'!AH37))))))))))),IF($X$21="Impermeable - drained for arable",IF($X$22="650-675",IF($X$23="Yes",'Data Tables'!Q37,'Data Tables'!R37),IF($X$22="675-700",IF($X$23="Yes",'Data Tables'!Q37,'Data Tables'!R37),IF($X$22="700-750",IF($X$23="Yes",'Data Tables'!W37,'Data Tables'!X37),IF($X$22="750-800",IF($X$23="Yes",'Data Tables'!W37,'Data Tables'!X37),IF($X$22="800-850",IF($X$23="Yes",'Data Tables'!W37,'Data Tables'!X37),IF($X$22="850-900",IF($X$23="Yes",'Data Tables'!W37,'Data Tables'!X37),IF($X$22="900-950",IF($X$23="Yes",'Data Tables'!AC37,'Data Tables'!AD37),IF($X$22="950-1000",IF($X$23="Yes",'Data Tables'!AC37,'Data Tables'!AD37),IF($X$22="1000-1100",IF($X$23="Yes",'Data Tables'!AC37,'Data Tables'!AD37),IF($X$22="1100-1200",IF($X$23="Yes",'Data Tables'!AC37,'Data Tables'!AD37),IF($X$23="Yes",'Data Tables'!AI37,'Data Tables'!AJ37))))))))))),IF($X$22="650-675",IF($X$23="Yes",'Data Tables'!S37,'Data Tables'!T37),IF($X$22="675-700",IF($X$23="Yes",'Data Tables'!S37,'Data Tables'!T37),IF($X$22="700-750",IF($X$23="Yes",'Data Tables'!Y37,'Data Tables'!Z37),IF($X$22="750-800",IF($X$23="Yes",'Data Tables'!Y37,'Data Tables'!Z37),IF($X$22="800-850",IF($X$23="Yes",'Data Tables'!Y37,'Data Tables'!Z37),IF($X$22="850-900",IF($X$23="Yes",'Data Tables'!Y37,'Data Tables'!Z37),IF($X$22="900-950",IF($X$23="Yes",'Data Tables'!AE37,'Data Tables'!AF37),IF($X$22="950-1000",IF($X$23="Yes",'Data Tables'!AE37,'Data Tables'!AF37),IF($X$22="1000-1100",IF($X$23="Yes",'Data Tables'!AE37,'Data Tables'!AF37),IF($X$22="1100-1200",IF($X$23="Yes",'Data Tables'!AE37,'Data Tables'!AF37),IF($X$23="Yes",'Data Tables'!AK37,'Data Tables'!AL37))))))))))))),""),""),"")</f>
        <v/>
      </c>
      <c r="AB37" s="223"/>
    </row>
    <row r="38" spans="2:52" ht="15.95" customHeight="1">
      <c r="B38" s="44"/>
      <c r="C38" s="40"/>
      <c r="D38" s="149"/>
      <c r="E38" s="437" t="s">
        <v>57</v>
      </c>
      <c r="F38" s="437"/>
      <c r="G38" s="437"/>
      <c r="H38" s="437"/>
      <c r="I38" s="437"/>
      <c r="J38" s="103"/>
      <c r="K38" s="225" t="str">
        <f>IF('Stage 2'!$K32&gt;0,SUM('Stage 2'!$O32,'Stage 2'!$P32,'Stage 2'!$Q32)/'Stage 2'!$K32,"")</f>
        <v/>
      </c>
      <c r="L38" s="310"/>
      <c r="M38" s="188"/>
      <c r="N38" s="160" t="s">
        <v>175</v>
      </c>
      <c r="O38" s="161" t="s">
        <v>298</v>
      </c>
      <c r="P38" s="179"/>
      <c r="Q38" s="47"/>
      <c r="R38" s="47"/>
      <c r="S38" s="437" t="s">
        <v>57</v>
      </c>
      <c r="T38" s="437"/>
      <c r="U38" s="437"/>
      <c r="V38" s="437"/>
      <c r="W38" s="437"/>
      <c r="X38" s="160" t="s">
        <v>175</v>
      </c>
      <c r="Y38" s="202" t="str">
        <f>IF($X$15="Yes",IF($X38="Yes",IF($X$20="Tone",((IF($X$21="Freely draining",IF($X$22="650-675",IF($X$23="Yes",'Data Tables'!O14,'Data Tables'!P14),IF($X$22="675-700",IF($X$23="Yes",'Data Tables'!O14,'Data Tables'!P14),IF($X$22="700-750",IF($X$23="Yes",'Data Tables'!U14,'Data Tables'!V14),IF($X$22="750-800",IF($X$23="Yes",'Data Tables'!U14,'Data Tables'!V14),IF($X$22="800-850",IF($X$23="Yes",'Data Tables'!U14,'Data Tables'!V14),IF($X$22="850-900",IF($X$23="Yes",'Data Tables'!U14,'Data Tables'!V14),IF($X$22="900-950",IF($X$23="Yes",'Data Tables'!AA14,'Data Tables'!AB14),IF($X$22="950-1000",IF($X$23="Yes",'Data Tables'!AA14,'Data Tables'!AB14),IF($X$22="1000-1100",IF($X$23="Yes",'Data Tables'!AA14,'Data Tables'!AB14),IF($X$22="1100-1200",IF($X$23="Yes",'Data Tables'!AA14,'Data Tables'!AB14),IF($X$23="Yes",'Data Tables'!AG14,'Data Tables'!AH14))))))))))),IF($X$21="Impermeable - drained for arable",IF($X$22="650-675",IF($X$23="Yes",'Data Tables'!Q14,'Data Tables'!R14),IF($X$22="675-700",IF($X$23="Yes",'Data Tables'!Q14,'Data Tables'!R14),IF($X$22="700-750",IF($X$23="Yes",'Data Tables'!W14,'Data Tables'!X14),IF($X$22="750-800",IF($X$23="Yes",'Data Tables'!W14,'Data Tables'!X14),IF($X$22="800-850",IF($X$23="Yes",'Data Tables'!W14,'Data Tables'!X14),IF($X$22="850-900",IF($X$23="Yes",'Data Tables'!W14,'Data Tables'!X14),IF($X$22="900-950",IF($X$23="Yes",'Data Tables'!AC14,'Data Tables'!AD14),IF($X$22="950-1000",IF($X$23="Yes",'Data Tables'!AC14,'Data Tables'!AD14),IF($X$22="1000-1100",IF($X$23="Yes",'Data Tables'!AC14,'Data Tables'!AD14),IF($X$22="1100-1200",IF($X$23="Yes",'Data Tables'!AC14,'Data Tables'!AD14),IF($X$23="Yes",'Data Tables'!AI14,'Data Tables'!AJ14))))))))))),IF($X$22="650-675",IF($X$23="Yes",'Data Tables'!S14,'Data Tables'!T14),IF($X$22="675-700",IF($X$23="Yes",'Data Tables'!S14,'Data Tables'!T14),IF($X$22="700-750",IF($X$23="Yes",'Data Tables'!Y14,'Data Tables'!Z14),IF($X$22="750-800",IF($X$23="Yes",'Data Tables'!Y14,'Data Tables'!Z14),IF($X$22="800-850",IF($X$23="Yes",'Data Tables'!Y14,'Data Tables'!Z14),IF($X$22="850-900",IF($X$23="Yes",'Data Tables'!Y14,'Data Tables'!Z14),IF($X$22="900-950",IF($X$23="Yes",'Data Tables'!AE14,'Data Tables'!AF14),IF($X$22="950-1000",IF($X$23="Yes",'Data Tables'!AE14,'Data Tables'!AF14),IF($X$22="1000-1100",IF($X$23="Yes",'Data Tables'!AE14,'Data Tables'!AF14),IF($X$22="1100-1200",IF($X$23="Yes",'Data Tables'!AE14,'Data Tables'!AF14),IF($X$23="Yes",'Data Tables'!AK14,'Data Tables'!AL14))))))))))))))),""),""),"")</f>
        <v/>
      </c>
      <c r="Z38" s="202" t="str">
        <f>IF($X$15="Yes",IF($X38="Yes",IF($X$20="Parrett",((IF($X$21="Freely draining",IF($X$22="650-675",IF($X$23="Yes",'Data Tables'!O26,'Data Tables'!P26),IF($X$22="675-700",IF($X$23="Yes",'Data Tables'!O26,'Data Tables'!P26),IF($X$22="700-750",IF($X$23="Yes",'Data Tables'!U26,'Data Tables'!V26),IF($X$22="750-800",IF($X$23="Yes",'Data Tables'!U26,'Data Tables'!V26),IF($X$22="800-850",IF($X$23="Yes",'Data Tables'!U26,'Data Tables'!V26),IF($X$22="850-900",IF($X$23="Yes",'Data Tables'!U26,'Data Tables'!V26),IF($X$22="900-950",IF($X$23="Yes",'Data Tables'!AA26,'Data Tables'!AB26),IF($X$22="950-1000",IF($X$23="Yes",'Data Tables'!AA26,'Data Tables'!AB26),IF($X$22="1000-1100",IF($X$23="Yes",'Data Tables'!AA26,'Data Tables'!AB26),IF($X$22="1100-1200",IF($X$23="Yes",'Data Tables'!AA26,'Data Tables'!AB26),IF($X$23="Yes",'Data Tables'!AG26,'Data Tables'!AH26))))))))))),IF($X$21="Impermeable - drained for arable",IF($X$22="650-675",IF($X$23="Yes",'Data Tables'!Q26,'Data Tables'!R26),IF($X$22="675-700",IF($X$23="Yes",'Data Tables'!Q26,'Data Tables'!R26),IF($X$22="700-750",IF($X$23="Yes",'Data Tables'!W26,'Data Tables'!X26),IF($X$22="750-800",IF($X$23="Yes",'Data Tables'!W26,'Data Tables'!X26),IF($X$22="800-850",IF($X$23="Yes",'Data Tables'!W26,'Data Tables'!X26),IF($X$22="850-900",IF($X$23="Yes",'Data Tables'!W26,'Data Tables'!X26),IF($X$22="900-950",IF($X$23="Yes",'Data Tables'!AC26,'Data Tables'!AD26),IF($X$22="950-1000",IF($X$23="Yes",'Data Tables'!AC26,'Data Tables'!AD26),IF($X$22="1000-1100",IF($X$23="Yes",'Data Tables'!AC26,'Data Tables'!AD26),IF($X$22="1100-1200",IF($X$23="Yes",'Data Tables'!AC26,'Data Tables'!AD26),IF($X$23="Yes",'Data Tables'!AI26,'Data Tables'!AJ26))))))))))),IF($X$22="650-675",IF($X$23="Yes",'Data Tables'!S26,'Data Tables'!T26),IF($X$22="675-700",IF($X$23="Yes",'Data Tables'!S26,'Data Tables'!T26),IF($X$22="700-750",IF($X$23="Yes",'Data Tables'!Y26,'Data Tables'!Z26),IF($X$22="750-800",IF($X$23="Yes",'Data Tables'!Y26,'Data Tables'!Z26),IF($X$22="800-850",IF($X$23="Yes",'Data Tables'!Y26,'Data Tables'!Z26),IF($X$22="850-900",IF($X$23="Yes",'Data Tables'!Y26,'Data Tables'!Z26),IF($X$22="900-950",IF($X$23="Yes",'Data Tables'!AE26,'Data Tables'!AF26),IF($X$22="950-1000",IF($X$23="Yes",'Data Tables'!AE26,'Data Tables'!AF26),IF($X$22="1000-1100",IF($X$23="Yes",'Data Tables'!AE26,'Data Tables'!AF26),IF($X$22="1100-1200",IF($X$23="Yes",'Data Tables'!AE26,'Data Tables'!AF26),IF($X$23="Yes",'Data Tables'!AK26,'Data Tables'!AL26))))))))))))))),""),""),"")</f>
        <v/>
      </c>
      <c r="AA38" s="202" t="str">
        <f>IF($X$15="Yes",IF($X38="Yes",IF($X$20="Brue &amp; Axe",IF($X$21="Freely draining",IF($X$22="650-675",IF($X$23="Yes",'Data Tables'!O38,'Data Tables'!P38),IF($X$22="675-700",IF($X$23="Yes",'Data Tables'!O38,'Data Tables'!P38),IF($X$22="700-750",IF($X$23="Yes",'Data Tables'!U38,'Data Tables'!V38),IF($X$22="750-800",IF($X$23="Yes",'Data Tables'!U38,'Data Tables'!V38),IF($X$22="800-850",IF($X$23="Yes",'Data Tables'!U38,'Data Tables'!V38),IF($X$22="850-900",IF($X$23="Yes",'Data Tables'!U38,'Data Tables'!V38),IF($X$22="900-950",IF($X$23="Yes",'Data Tables'!AA38,'Data Tables'!AB38),IF($X$22="950-1000",IF($X$23="Yes",'Data Tables'!AA38,'Data Tables'!AB38),IF($X$22="1000-1100",IF($X$23="Yes",'Data Tables'!AA38,'Data Tables'!AB38),IF($X$22="1100-1200",IF($X$23="Yes",'Data Tables'!AA38,'Data Tables'!AB38),IF($X$23="Yes",'Data Tables'!AG38,'Data Tables'!AH38))))))))))),IF($X$21="Impermeable - drained for arable",IF($X$22="650-675",IF($X$23="Yes",'Data Tables'!Q38,'Data Tables'!R38),IF($X$22="675-700",IF($X$23="Yes",'Data Tables'!Q38,'Data Tables'!R38),IF($X$22="700-750",IF($X$23="Yes",'Data Tables'!W38,'Data Tables'!X38),IF($X$22="750-800",IF($X$23="Yes",'Data Tables'!W38,'Data Tables'!X38),IF($X$22="800-850",IF($X$23="Yes",'Data Tables'!W38,'Data Tables'!X38),IF($X$22="850-900",IF($X$23="Yes",'Data Tables'!W38,'Data Tables'!X38),IF($X$22="900-950",IF($X$23="Yes",'Data Tables'!AC38,'Data Tables'!AD38),IF($X$22="950-1000",IF($X$23="Yes",'Data Tables'!AC38,'Data Tables'!AD38),IF($X$22="1000-1100",IF($X$23="Yes",'Data Tables'!AC38,'Data Tables'!AD38),IF($X$22="1100-1200",IF($X$23="Yes",'Data Tables'!AC38,'Data Tables'!AD38),IF($X$23="Yes",'Data Tables'!AI38,'Data Tables'!AJ38))))))))))),IF($X$22="650-675",IF($X$23="Yes",'Data Tables'!S38,'Data Tables'!T38),IF($X$22="675-700",IF($X$23="Yes",'Data Tables'!S38,'Data Tables'!T38),IF($X$22="700-750",IF($X$23="Yes",'Data Tables'!Y38,'Data Tables'!Z38),IF($X$22="750-800",IF($X$23="Yes",'Data Tables'!Y38,'Data Tables'!Z38),IF($X$22="800-850",IF($X$23="Yes",'Data Tables'!Y38,'Data Tables'!Z38),IF($X$22="850-900",IF($X$23="Yes",'Data Tables'!Y38,'Data Tables'!Z38),IF($X$22="900-950",IF($X$23="Yes",'Data Tables'!AE38,'Data Tables'!AF38),IF($X$22="950-1000",IF($X$23="Yes",'Data Tables'!AE38,'Data Tables'!AF38),IF($X$22="1000-1100",IF($X$23="Yes",'Data Tables'!AE38,'Data Tables'!AF38),IF($X$22="1100-1200",IF($X$23="Yes",'Data Tables'!AE38,'Data Tables'!AF38),IF($X$23="Yes",'Data Tables'!AK38,'Data Tables'!AL38))))))))))))),""),""),"")</f>
        <v/>
      </c>
      <c r="AB38" s="223"/>
    </row>
    <row r="39" spans="2:52" ht="15.95" customHeight="1">
      <c r="B39" s="44"/>
      <c r="C39" s="40"/>
      <c r="D39" s="149"/>
      <c r="E39" s="437" t="str">
        <f>'Stage 2'!F33</f>
        <v>Woodland (e.g. broad-leaved, orchard)</v>
      </c>
      <c r="F39" s="437"/>
      <c r="G39" s="437"/>
      <c r="H39" s="437"/>
      <c r="I39" s="437"/>
      <c r="J39" s="103"/>
      <c r="K39" s="203" t="str">
        <f>IF('Stage 2'!K33&gt;0,'Data Tables'!L5,"")</f>
        <v/>
      </c>
      <c r="L39" s="310"/>
      <c r="M39" s="188"/>
      <c r="N39" s="160" t="s">
        <v>175</v>
      </c>
      <c r="O39" s="161" t="s">
        <v>298</v>
      </c>
      <c r="P39" s="179"/>
      <c r="Q39" s="47"/>
      <c r="R39" s="47"/>
      <c r="S39" s="437" t="str">
        <f>E39</f>
        <v>Woodland (e.g. broad-leaved, orchard)</v>
      </c>
      <c r="T39" s="437"/>
      <c r="U39" s="437"/>
      <c r="V39" s="437"/>
      <c r="W39" s="437"/>
      <c r="X39" s="160" t="s">
        <v>175</v>
      </c>
      <c r="Y39" s="459" t="str">
        <f>IF($X$15="Yes",(IF(X39="Yes",'Data Tables'!L5,0)),"")</f>
        <v/>
      </c>
      <c r="Z39" s="459"/>
      <c r="AA39" s="459"/>
      <c r="AB39" s="223"/>
    </row>
    <row r="40" spans="2:52" ht="15.95" customHeight="1">
      <c r="B40" s="44"/>
      <c r="C40" s="40"/>
      <c r="D40" s="149"/>
      <c r="E40" s="437" t="str">
        <f>'Stage 2'!F34</f>
        <v>Greenspace / semi-natural grassland</v>
      </c>
      <c r="F40" s="437"/>
      <c r="G40" s="437"/>
      <c r="H40" s="437"/>
      <c r="I40" s="437"/>
      <c r="J40" s="103"/>
      <c r="K40" s="203" t="str">
        <f>IF('Stage 2'!K34&gt;0,'Data Tables'!L4,"")</f>
        <v/>
      </c>
      <c r="L40" s="310"/>
      <c r="M40" s="188"/>
      <c r="N40" s="160" t="s">
        <v>175</v>
      </c>
      <c r="O40" s="161" t="s">
        <v>298</v>
      </c>
      <c r="P40" s="179"/>
      <c r="Q40" s="47"/>
      <c r="R40" s="47"/>
      <c r="S40" s="437" t="str">
        <f>E40</f>
        <v>Greenspace / semi-natural grassland</v>
      </c>
      <c r="T40" s="437"/>
      <c r="U40" s="437"/>
      <c r="V40" s="437"/>
      <c r="W40" s="437"/>
      <c r="X40" s="160" t="s">
        <v>175</v>
      </c>
      <c r="Y40" s="459" t="str">
        <f>IF($X$15="Yes",(IF(X40="Yes",'Data Tables'!L4,0)),"")</f>
        <v/>
      </c>
      <c r="Z40" s="459"/>
      <c r="AA40" s="459"/>
      <c r="AB40" s="223"/>
    </row>
    <row r="41" spans="2:52" ht="15.95" customHeight="1">
      <c r="B41" s="44"/>
      <c r="C41" s="40"/>
      <c r="D41" s="149"/>
      <c r="E41" s="437" t="str">
        <f>'Stage 2'!F35</f>
        <v>Shrub / heathland / bracken / bog</v>
      </c>
      <c r="F41" s="437"/>
      <c r="G41" s="437"/>
      <c r="H41" s="437"/>
      <c r="I41" s="437"/>
      <c r="J41" s="103"/>
      <c r="K41" s="203" t="str">
        <f>IF('Stage 2'!K35&gt;0,'Data Tables'!L6,"")</f>
        <v/>
      </c>
      <c r="L41" s="310"/>
      <c r="M41" s="188"/>
      <c r="N41" s="160" t="s">
        <v>175</v>
      </c>
      <c r="O41" s="161" t="s">
        <v>298</v>
      </c>
      <c r="P41" s="179"/>
      <c r="Q41" s="47"/>
      <c r="R41" s="47"/>
      <c r="S41" s="437" t="str">
        <f>E41</f>
        <v>Shrub / heathland / bracken / bog</v>
      </c>
      <c r="T41" s="437"/>
      <c r="U41" s="437"/>
      <c r="V41" s="437"/>
      <c r="W41" s="437"/>
      <c r="X41" s="160" t="s">
        <v>175</v>
      </c>
      <c r="Y41" s="459" t="str">
        <f>IF($X$15="Yes",(IF(X41="Yes",'Data Tables'!L6,0)),"")</f>
        <v/>
      </c>
      <c r="Z41" s="459"/>
      <c r="AA41" s="459"/>
      <c r="AB41" s="223"/>
    </row>
    <row r="42" spans="2:52" ht="15" customHeight="1">
      <c r="B42" s="44"/>
      <c r="C42" s="40"/>
      <c r="D42" s="149"/>
      <c r="E42" s="437" t="str">
        <f>'Stage 2'!F36</f>
        <v>Water</v>
      </c>
      <c r="F42" s="437"/>
      <c r="G42" s="437"/>
      <c r="H42" s="437"/>
      <c r="I42" s="437"/>
      <c r="J42" s="103"/>
      <c r="K42" s="203" t="str">
        <f>IF('Stage 2'!K36&gt;0,'Data Tables'!L7,"")</f>
        <v/>
      </c>
      <c r="L42" s="310"/>
      <c r="M42" s="188"/>
      <c r="N42" s="160" t="s">
        <v>175</v>
      </c>
      <c r="O42" s="161" t="s">
        <v>298</v>
      </c>
      <c r="P42" s="179"/>
      <c r="Q42" s="47"/>
      <c r="R42" s="47"/>
      <c r="S42" s="437" t="str">
        <f>E42</f>
        <v>Water</v>
      </c>
      <c r="T42" s="437"/>
      <c r="U42" s="437"/>
      <c r="V42" s="437"/>
      <c r="W42" s="437"/>
      <c r="X42" s="160" t="s">
        <v>175</v>
      </c>
      <c r="Y42" s="459" t="str">
        <f>IF($X$15="Yes",(IF(X42="Yes",'Data Tables'!L7,0)),"")</f>
        <v/>
      </c>
      <c r="Z42" s="459"/>
      <c r="AA42" s="459"/>
      <c r="AB42" s="223"/>
    </row>
    <row r="43" spans="2:52" ht="15.95" customHeight="1">
      <c r="B43" s="44"/>
      <c r="C43" s="40"/>
      <c r="D43" s="149"/>
      <c r="E43" s="47"/>
      <c r="F43" s="37"/>
      <c r="G43" s="47"/>
      <c r="H43" s="47"/>
      <c r="I43" s="47"/>
      <c r="J43" s="47"/>
      <c r="K43" s="47"/>
      <c r="L43" s="188"/>
      <c r="M43" s="188"/>
      <c r="N43" s="188"/>
      <c r="O43" s="167"/>
      <c r="P43" s="179"/>
      <c r="Q43" s="47"/>
      <c r="R43" s="47"/>
      <c r="S43" s="47"/>
      <c r="T43" s="47"/>
      <c r="U43" s="47"/>
      <c r="V43" s="47"/>
      <c r="W43" s="47"/>
      <c r="X43" s="103"/>
      <c r="Y43" s="47"/>
      <c r="Z43" s="47"/>
      <c r="AA43" s="47"/>
      <c r="AB43" s="223"/>
    </row>
    <row r="44" spans="2:52" ht="15.95" customHeight="1">
      <c r="B44" s="44"/>
      <c r="C44" s="40"/>
      <c r="D44" s="149"/>
      <c r="E44" s="47"/>
      <c r="F44" s="37"/>
      <c r="G44" s="47"/>
      <c r="H44" s="47"/>
      <c r="I44" s="47"/>
      <c r="J44" s="47"/>
      <c r="K44" s="47"/>
      <c r="L44" s="188"/>
      <c r="M44" s="188"/>
      <c r="N44" s="188"/>
      <c r="O44" s="167"/>
      <c r="P44" s="179"/>
      <c r="Q44" s="47"/>
      <c r="R44" s="47"/>
      <c r="S44" s="437" t="s">
        <v>303</v>
      </c>
      <c r="T44" s="437"/>
      <c r="U44" s="437"/>
      <c r="V44" s="437"/>
      <c r="W44" s="437"/>
      <c r="X44" s="311"/>
      <c r="Y44" s="47"/>
      <c r="Z44" s="237"/>
      <c r="AA44" s="47"/>
      <c r="AB44" s="223"/>
    </row>
    <row r="45" spans="2:52" ht="15.95" customHeight="1">
      <c r="B45" s="44"/>
      <c r="C45" s="40"/>
      <c r="D45" s="149"/>
      <c r="E45" s="47"/>
      <c r="F45" s="37"/>
      <c r="G45" s="47"/>
      <c r="H45" s="47"/>
      <c r="I45" s="47"/>
      <c r="J45" s="47"/>
      <c r="K45" s="47"/>
      <c r="L45" s="188"/>
      <c r="M45" s="188"/>
      <c r="N45" s="188"/>
      <c r="O45" s="167"/>
      <c r="P45" s="179"/>
      <c r="Q45" s="47"/>
      <c r="R45" s="47"/>
      <c r="S45" s="47"/>
      <c r="T45" s="47"/>
      <c r="U45" s="47"/>
      <c r="V45" s="47"/>
      <c r="W45" s="47"/>
      <c r="X45" s="103"/>
      <c r="Y45" s="47"/>
      <c r="Z45" s="47"/>
      <c r="AA45" s="47"/>
      <c r="AB45" s="223"/>
    </row>
    <row r="46" spans="2:52" ht="17.45" customHeight="1">
      <c r="B46" s="44"/>
      <c r="C46" s="40"/>
      <c r="D46" s="149"/>
      <c r="E46" s="444" t="s">
        <v>304</v>
      </c>
      <c r="F46" s="444"/>
      <c r="G46" s="444"/>
      <c r="H46" s="444"/>
      <c r="I46" s="444"/>
      <c r="J46" s="198"/>
      <c r="K46" s="47"/>
      <c r="L46" s="192">
        <f>IF(L15="Yes",(IF(N21="Yes",L21,0)+((IF(N26="Yes",K26,0)+IF(N27="Yes",K27,0)+IF(N28="Yes",K28,0))*(1-('Stage 2'!K43/100)))+IF(N29="Yes",K29,0)+IF(N30="Yes",K30,0)+IF(N31="Yes",K31,0)+IF(N32="Yes",K32,0)+IF(N33="Yes",K33,0)+IF(N34="Yes",K34,0)+IF(N35="Yes",K35,0)+IF(N36="Yes",K36,0)+IF(N37="Yes",K37,0)+IF(N38="Yes",K38,0)+IF(N39="Yes",K39,0)+IF(N40="Yes",K40,0)+IF(N41="Yes",K41,0)+IF(N42="Yes",K42,0))/COUNTIF(N21:N42,"Yes"),0)</f>
        <v>0</v>
      </c>
      <c r="M46" s="188"/>
      <c r="N46" s="188"/>
      <c r="O46" s="167"/>
      <c r="P46" s="179"/>
      <c r="Q46" s="47"/>
      <c r="R46" s="47"/>
      <c r="S46" s="444" t="s">
        <v>305</v>
      </c>
      <c r="T46" s="444"/>
      <c r="U46" s="444"/>
      <c r="V46" s="444"/>
      <c r="W46" s="444"/>
      <c r="X46" s="204">
        <f>IFERROR(SUM(Y26:AA42)/(COUNTIF(X26:X42,"Yes")),0)</f>
        <v>0</v>
      </c>
      <c r="Y46" s="148"/>
      <c r="Z46" s="148"/>
      <c r="AA46" s="148"/>
      <c r="AB46" s="223"/>
    </row>
    <row r="47" spans="2:52" ht="15.95" customHeight="1">
      <c r="B47" s="44"/>
      <c r="C47" s="40"/>
      <c r="D47" s="149"/>
      <c r="E47" s="198"/>
      <c r="F47" s="198"/>
      <c r="G47" s="198"/>
      <c r="H47" s="198"/>
      <c r="I47" s="198"/>
      <c r="J47" s="198"/>
      <c r="K47" s="47"/>
      <c r="L47" s="188"/>
      <c r="M47" s="188"/>
      <c r="N47" s="188"/>
      <c r="O47" s="167"/>
      <c r="P47" s="47"/>
      <c r="Q47" s="47"/>
      <c r="R47" s="47"/>
      <c r="S47" s="198"/>
      <c r="T47" s="198"/>
      <c r="U47" s="198"/>
      <c r="V47" s="198"/>
      <c r="W47" s="198"/>
      <c r="X47" s="333"/>
      <c r="Y47" s="226"/>
      <c r="Z47" s="333"/>
      <c r="AA47" s="226"/>
      <c r="AB47" s="223"/>
    </row>
    <row r="48" spans="2:52" ht="15.95" customHeight="1">
      <c r="B48" s="44"/>
      <c r="C48" s="40"/>
      <c r="D48" s="149"/>
      <c r="E48" s="47"/>
      <c r="F48" s="37"/>
      <c r="G48" s="47"/>
      <c r="H48" s="47"/>
      <c r="I48" s="47"/>
      <c r="J48" s="47"/>
      <c r="K48" s="47"/>
      <c r="L48" s="188"/>
      <c r="M48" s="188"/>
      <c r="N48" s="188"/>
      <c r="O48" s="167"/>
      <c r="P48" s="103"/>
      <c r="Q48" s="103"/>
      <c r="R48" s="47"/>
      <c r="S48" s="47"/>
      <c r="T48" s="47"/>
      <c r="U48" s="47"/>
      <c r="V48" s="47"/>
      <c r="W48" s="47"/>
      <c r="X48" s="47"/>
      <c r="Y48" s="47"/>
      <c r="Z48" s="47"/>
      <c r="AA48" s="47"/>
      <c r="AB48" s="223"/>
    </row>
    <row r="49" spans="2:28" ht="15.95" customHeight="1">
      <c r="B49" s="44"/>
      <c r="C49" s="40"/>
      <c r="D49" s="149"/>
      <c r="E49" s="47"/>
      <c r="F49" s="37"/>
      <c r="G49" s="47"/>
      <c r="H49" s="47"/>
      <c r="I49" s="444" t="s">
        <v>306</v>
      </c>
      <c r="J49" s="444"/>
      <c r="K49" s="444"/>
      <c r="L49" s="444"/>
      <c r="M49" s="444"/>
      <c r="N49" s="444"/>
      <c r="O49" s="444"/>
      <c r="P49" s="192" t="str">
        <f>IF(L46+X46&gt;0,L46+X46,"")</f>
        <v/>
      </c>
      <c r="Q49" s="188"/>
      <c r="R49" s="226"/>
      <c r="S49" s="47"/>
      <c r="T49" s="47"/>
      <c r="U49" s="47"/>
      <c r="V49" s="47"/>
      <c r="W49" s="47"/>
      <c r="X49" s="47"/>
      <c r="Y49" s="47"/>
      <c r="Z49" s="47"/>
      <c r="AA49" s="47"/>
      <c r="AB49" s="223"/>
    </row>
    <row r="50" spans="2:28" ht="15.95" customHeight="1" thickBot="1">
      <c r="B50" s="44"/>
      <c r="C50" s="40"/>
      <c r="D50" s="227"/>
      <c r="E50" s="168"/>
      <c r="F50" s="168"/>
      <c r="G50" s="168"/>
      <c r="H50" s="168"/>
      <c r="I50" s="168"/>
      <c r="J50" s="168"/>
      <c r="K50" s="168"/>
      <c r="L50" s="168"/>
      <c r="M50" s="168"/>
      <c r="N50" s="168"/>
      <c r="O50" s="168"/>
      <c r="P50" s="168"/>
      <c r="Q50" s="168"/>
      <c r="R50" s="47"/>
      <c r="S50" s="47"/>
      <c r="T50" s="47"/>
      <c r="U50" s="228"/>
      <c r="V50" s="228"/>
      <c r="W50" s="228"/>
      <c r="X50" s="228"/>
      <c r="Y50" s="228"/>
      <c r="Z50" s="228"/>
      <c r="AA50" s="228"/>
      <c r="AB50" s="229"/>
    </row>
    <row r="51" spans="2:28" ht="11.45" customHeight="1">
      <c r="B51" s="44"/>
      <c r="C51" s="40"/>
      <c r="D51" s="47"/>
      <c r="E51" s="47"/>
      <c r="F51" s="47"/>
      <c r="G51" s="47"/>
      <c r="H51" s="47"/>
      <c r="I51" s="47"/>
      <c r="J51" s="47"/>
      <c r="K51" s="47"/>
      <c r="L51" s="47"/>
      <c r="M51" s="47"/>
      <c r="N51" s="47"/>
      <c r="O51" s="47"/>
      <c r="P51" s="47"/>
      <c r="Q51" s="47"/>
      <c r="R51" s="47"/>
      <c r="S51" s="47"/>
      <c r="T51" s="230"/>
      <c r="U51" s="64"/>
      <c r="V51" s="64"/>
      <c r="W51" s="64"/>
      <c r="X51" s="64"/>
      <c r="Y51" s="64"/>
      <c r="Z51" s="64"/>
      <c r="AA51" s="64"/>
      <c r="AB51" s="64"/>
    </row>
    <row r="52" spans="2:28" ht="12.75" customHeight="1">
      <c r="B52" s="44"/>
      <c r="C52" s="40"/>
      <c r="D52" s="47"/>
      <c r="E52" s="46" t="s">
        <v>239</v>
      </c>
      <c r="F52" s="394" t="s">
        <v>307</v>
      </c>
      <c r="G52" s="394"/>
      <c r="H52" s="394"/>
      <c r="I52" s="394"/>
      <c r="J52" s="394"/>
      <c r="K52" s="394"/>
      <c r="L52" s="103" t="s">
        <v>145</v>
      </c>
      <c r="M52" s="103"/>
      <c r="N52" s="103"/>
      <c r="O52" s="47"/>
      <c r="P52" s="47"/>
      <c r="Q52" s="47"/>
      <c r="R52" s="47"/>
      <c r="S52" s="47"/>
      <c r="T52" s="230"/>
      <c r="U52" s="64"/>
      <c r="V52" s="64"/>
      <c r="W52" s="64"/>
      <c r="X52" s="64"/>
      <c r="Y52" s="64"/>
      <c r="Z52" s="64"/>
      <c r="AA52" s="64"/>
      <c r="AB52" s="64"/>
    </row>
    <row r="53" spans="2:28" ht="12.95" customHeight="1">
      <c r="B53" s="44"/>
      <c r="C53" s="40"/>
      <c r="D53" s="47"/>
      <c r="E53" s="47"/>
      <c r="F53" s="47"/>
      <c r="G53" s="47"/>
      <c r="H53" s="47"/>
      <c r="I53" s="47"/>
      <c r="J53" s="47"/>
      <c r="K53" s="47"/>
      <c r="L53" s="103"/>
      <c r="M53" s="103"/>
      <c r="N53" s="103"/>
      <c r="O53" s="47"/>
      <c r="P53" s="47"/>
      <c r="Q53" s="47"/>
      <c r="R53" s="47"/>
      <c r="S53" s="47"/>
      <c r="T53" s="230"/>
      <c r="U53" s="64"/>
      <c r="V53" s="64"/>
      <c r="W53" s="64"/>
      <c r="X53" s="64"/>
      <c r="Y53" s="64"/>
      <c r="Z53" s="64"/>
      <c r="AA53" s="64"/>
      <c r="AB53" s="64"/>
    </row>
    <row r="54" spans="2:28" ht="12.95" customHeight="1">
      <c r="B54" s="44"/>
      <c r="C54" s="40"/>
      <c r="D54" s="47"/>
      <c r="E54" s="437" t="s">
        <v>308</v>
      </c>
      <c r="F54" s="437"/>
      <c r="G54" s="437"/>
      <c r="H54" s="437"/>
      <c r="I54" s="437"/>
      <c r="J54" s="103"/>
      <c r="K54" s="47"/>
      <c r="L54" s="231" t="e">
        <f>(1/(((P49-(-IF(L62&gt;0,L62,8))))/$L$10))</f>
        <v>#VALUE!</v>
      </c>
      <c r="M54" s="232"/>
      <c r="N54" s="232"/>
      <c r="O54" s="47"/>
      <c r="P54" s="47"/>
      <c r="Q54" s="47"/>
      <c r="R54" s="47"/>
      <c r="S54" s="47"/>
      <c r="T54" s="230"/>
      <c r="U54" s="64"/>
      <c r="V54" s="64"/>
      <c r="W54" s="64"/>
      <c r="X54" s="64"/>
      <c r="Y54" s="64"/>
      <c r="Z54" s="64"/>
      <c r="AA54" s="64"/>
      <c r="AB54" s="64"/>
    </row>
    <row r="55" spans="2:28" ht="14.45" customHeight="1">
      <c r="B55" s="44"/>
      <c r="C55" s="40"/>
      <c r="D55" s="47"/>
      <c r="E55" s="437" t="s">
        <v>309</v>
      </c>
      <c r="F55" s="437"/>
      <c r="G55" s="437"/>
      <c r="H55" s="437"/>
      <c r="I55" s="437"/>
      <c r="J55" s="103"/>
      <c r="K55" s="47"/>
      <c r="L55" s="282" t="e">
        <f>(L10/($P$49-(IF(L15="Yes",IF('Stage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f>
        <v>#VALUE!</v>
      </c>
      <c r="M55" s="232"/>
      <c r="N55" s="232"/>
      <c r="O55" s="47"/>
      <c r="P55" s="47"/>
      <c r="Q55" s="47"/>
      <c r="R55" s="47"/>
      <c r="S55" s="47"/>
      <c r="T55" s="230"/>
      <c r="U55" s="64"/>
      <c r="V55" s="64"/>
      <c r="W55" s="64"/>
      <c r="X55" s="64"/>
      <c r="Y55" s="64"/>
      <c r="Z55" s="64"/>
      <c r="AA55" s="64"/>
      <c r="AB55" s="64"/>
    </row>
    <row r="56" spans="2:28" ht="14.45" customHeight="1">
      <c r="B56" s="44"/>
      <c r="C56" s="40"/>
      <c r="D56" s="47"/>
      <c r="E56" s="437" t="s">
        <v>73</v>
      </c>
      <c r="F56" s="437"/>
      <c r="G56" s="437"/>
      <c r="H56" s="437"/>
      <c r="I56" s="437"/>
      <c r="J56" s="103"/>
      <c r="K56" s="103"/>
      <c r="L56" s="231" t="e">
        <f>(1/(($P$49-'Data Tables'!L7)/$L$10))</f>
        <v>#VALUE!</v>
      </c>
      <c r="M56" s="232"/>
      <c r="N56" s="232"/>
      <c r="O56" s="161"/>
      <c r="P56" s="183"/>
      <c r="Q56" s="183"/>
      <c r="R56" s="161"/>
      <c r="S56" s="47"/>
      <c r="T56" s="230"/>
      <c r="U56" s="64"/>
      <c r="V56" s="64"/>
      <c r="W56" s="64"/>
      <c r="X56" s="64"/>
      <c r="Y56" s="64"/>
      <c r="Z56" s="64"/>
      <c r="AA56" s="64"/>
      <c r="AB56" s="64"/>
    </row>
    <row r="57" spans="2:28" ht="14.45" customHeight="1">
      <c r="B57" s="44"/>
      <c r="C57" s="40"/>
      <c r="D57" s="47"/>
      <c r="E57" s="437" t="s">
        <v>69</v>
      </c>
      <c r="F57" s="437"/>
      <c r="G57" s="437"/>
      <c r="H57" s="437"/>
      <c r="I57" s="437"/>
      <c r="J57" s="103"/>
      <c r="K57" s="103"/>
      <c r="L57" s="231" t="e">
        <f>(1/(($P$49-'Data Tables'!L5)/$L$10))</f>
        <v>#VALUE!</v>
      </c>
      <c r="M57" s="232"/>
      <c r="N57" s="232"/>
      <c r="O57" s="161"/>
      <c r="P57" s="183"/>
      <c r="Q57" s="183"/>
      <c r="R57" s="161"/>
      <c r="S57" s="47"/>
      <c r="T57" s="230"/>
      <c r="U57" s="64"/>
      <c r="V57" s="64"/>
      <c r="W57" s="64"/>
      <c r="X57" s="64"/>
      <c r="Y57" s="64"/>
      <c r="Z57" s="64"/>
      <c r="AA57" s="64"/>
      <c r="AB57" s="64"/>
    </row>
    <row r="58" spans="2:28" ht="14.45" customHeight="1">
      <c r="B58" s="44"/>
      <c r="C58" s="40"/>
      <c r="D58" s="47"/>
      <c r="E58" s="437" t="s">
        <v>310</v>
      </c>
      <c r="F58" s="437"/>
      <c r="G58" s="437"/>
      <c r="H58" s="437"/>
      <c r="I58" s="437"/>
      <c r="J58" s="103"/>
      <c r="K58" s="103"/>
      <c r="L58" s="231" t="e">
        <f>(1/(($P$49-'Data Tables'!L6)/$L$10))</f>
        <v>#VALUE!</v>
      </c>
      <c r="M58" s="232"/>
      <c r="N58" s="232"/>
      <c r="O58" s="161"/>
      <c r="P58" s="183"/>
      <c r="Q58" s="183"/>
      <c r="R58" s="161"/>
      <c r="S58" s="47"/>
      <c r="T58" s="230"/>
      <c r="U58" s="64"/>
      <c r="V58" s="64"/>
      <c r="W58" s="64"/>
      <c r="X58" s="64"/>
      <c r="Y58" s="64"/>
      <c r="Z58" s="64"/>
      <c r="AA58" s="64"/>
      <c r="AB58" s="64"/>
    </row>
    <row r="59" spans="2:28" ht="14.45" customHeight="1">
      <c r="B59" s="44"/>
      <c r="C59" s="40"/>
      <c r="D59" s="47"/>
      <c r="E59" s="437" t="s">
        <v>311</v>
      </c>
      <c r="F59" s="437"/>
      <c r="G59" s="437"/>
      <c r="H59" s="437"/>
      <c r="I59" s="437"/>
      <c r="J59" s="103"/>
      <c r="K59" s="103"/>
      <c r="L59" s="231" t="e">
        <f>(1/(($P$49-'Data Tables'!L4)/$L$10))</f>
        <v>#VALUE!</v>
      </c>
      <c r="M59" s="232"/>
      <c r="N59" s="232"/>
      <c r="O59" s="161"/>
      <c r="P59" s="183"/>
      <c r="Q59" s="183"/>
      <c r="R59" s="161"/>
      <c r="S59" s="47"/>
      <c r="T59" s="230"/>
      <c r="U59" s="64"/>
      <c r="V59" s="64"/>
      <c r="W59" s="64"/>
      <c r="X59" s="64"/>
      <c r="Y59" s="64"/>
      <c r="Z59" s="64"/>
      <c r="AA59" s="64"/>
      <c r="AB59" s="64"/>
    </row>
    <row r="60" spans="2:28" ht="7.5" customHeight="1">
      <c r="B60" s="44"/>
      <c r="C60" s="40"/>
      <c r="D60" s="47"/>
      <c r="E60" s="47"/>
      <c r="F60" s="47"/>
      <c r="G60" s="47"/>
      <c r="H60" s="47"/>
      <c r="I60" s="47"/>
      <c r="J60" s="47"/>
      <c r="K60" s="47"/>
      <c r="L60" s="47"/>
      <c r="M60" s="47"/>
      <c r="N60" s="47"/>
      <c r="O60" s="47"/>
      <c r="P60" s="47"/>
      <c r="Q60" s="47"/>
      <c r="R60" s="47"/>
      <c r="S60" s="47"/>
      <c r="T60" s="230"/>
      <c r="U60" s="64"/>
      <c r="V60" s="64"/>
      <c r="W60" s="64"/>
      <c r="X60" s="64"/>
      <c r="Y60" s="64"/>
      <c r="Z60" s="64"/>
      <c r="AA60" s="64"/>
      <c r="AB60" s="64"/>
    </row>
    <row r="61" spans="2:28" ht="15.95" customHeight="1">
      <c r="B61" s="44"/>
      <c r="C61" s="40"/>
      <c r="D61" s="47"/>
      <c r="E61" s="47"/>
      <c r="F61" s="394" t="s">
        <v>312</v>
      </c>
      <c r="G61" s="394"/>
      <c r="H61" s="394"/>
      <c r="I61" s="394"/>
      <c r="J61" s="394"/>
      <c r="K61" s="394"/>
      <c r="L61" s="148"/>
      <c r="M61" s="148"/>
      <c r="N61" s="148"/>
      <c r="O61" s="47"/>
      <c r="P61" s="47"/>
      <c r="Q61" s="47"/>
      <c r="R61" s="47"/>
      <c r="S61" s="47"/>
      <c r="T61" s="230"/>
      <c r="U61" s="64"/>
      <c r="V61" s="64"/>
      <c r="W61" s="64"/>
      <c r="X61" s="64"/>
      <c r="Y61" s="64"/>
      <c r="Z61" s="64"/>
      <c r="AA61" s="64"/>
      <c r="AB61" s="64"/>
    </row>
    <row r="62" spans="2:28" ht="17.25" customHeight="1">
      <c r="B62" s="44"/>
      <c r="C62" s="40"/>
      <c r="D62" s="47"/>
      <c r="E62" s="47"/>
      <c r="F62" s="47"/>
      <c r="G62" s="394" t="s">
        <v>313</v>
      </c>
      <c r="H62" s="394"/>
      <c r="I62" s="394"/>
      <c r="J62" s="394"/>
      <c r="K62" s="394"/>
      <c r="L62" s="160"/>
      <c r="M62" s="103"/>
      <c r="N62" s="103"/>
      <c r="O62" s="149"/>
      <c r="P62" s="47"/>
      <c r="Q62" s="47"/>
      <c r="R62" s="47"/>
      <c r="S62" s="47"/>
      <c r="T62" s="230"/>
      <c r="U62" s="64"/>
      <c r="V62" s="64"/>
      <c r="W62" s="64"/>
      <c r="X62" s="64"/>
      <c r="Y62" s="64"/>
      <c r="Z62" s="64"/>
      <c r="AA62" s="64"/>
      <c r="AB62" s="64"/>
    </row>
    <row r="63" spans="2:28" ht="57.95" customHeight="1">
      <c r="B63" s="44"/>
      <c r="C63" s="40"/>
      <c r="D63" s="47"/>
      <c r="E63" s="434" t="s">
        <v>314</v>
      </c>
      <c r="F63" s="434"/>
      <c r="G63" s="434"/>
      <c r="H63" s="434"/>
      <c r="I63" s="434"/>
      <c r="J63" s="434"/>
      <c r="K63" s="434"/>
      <c r="L63" s="434"/>
      <c r="M63" s="434"/>
      <c r="N63" s="434"/>
      <c r="O63" s="434"/>
      <c r="P63" s="434"/>
      <c r="Q63" s="434"/>
      <c r="R63" s="434"/>
      <c r="S63" s="434"/>
      <c r="T63" s="230"/>
      <c r="U63" s="64"/>
      <c r="V63" s="64"/>
      <c r="W63" s="64"/>
      <c r="X63" s="64"/>
      <c r="Y63" s="64"/>
      <c r="Z63" s="64"/>
      <c r="AA63" s="64"/>
      <c r="AB63" s="64"/>
    </row>
    <row r="64" spans="2:28" ht="14.45" customHeight="1">
      <c r="B64" s="44"/>
      <c r="C64" s="40"/>
      <c r="D64" s="47"/>
      <c r="E64" s="47"/>
      <c r="F64" s="47"/>
      <c r="G64" s="47"/>
      <c r="H64" s="47"/>
      <c r="I64" s="47"/>
      <c r="J64" s="47"/>
      <c r="K64" s="47"/>
      <c r="L64" s="148"/>
      <c r="M64" s="148"/>
      <c r="N64" s="148"/>
      <c r="O64" s="47"/>
      <c r="P64" s="148"/>
      <c r="Q64" s="148"/>
      <c r="R64" s="47"/>
      <c r="S64" s="47"/>
      <c r="T64" s="230"/>
      <c r="U64" s="64"/>
      <c r="V64" s="64"/>
      <c r="W64" s="64"/>
      <c r="X64" s="64"/>
      <c r="Y64" s="64"/>
      <c r="Z64" s="64"/>
      <c r="AA64" s="64"/>
      <c r="AB64" s="64"/>
    </row>
    <row r="65" spans="2:28" ht="9.9499999999999993" customHeight="1">
      <c r="B65" s="44"/>
      <c r="C65" s="40"/>
      <c r="D65" s="47"/>
      <c r="E65" s="46" t="s">
        <v>201</v>
      </c>
      <c r="F65" s="47" t="s">
        <v>315</v>
      </c>
      <c r="G65" s="47"/>
      <c r="H65" s="47"/>
      <c r="I65" s="47"/>
      <c r="J65" s="47"/>
      <c r="K65" s="47"/>
      <c r="L65" s="103" t="s">
        <v>145</v>
      </c>
      <c r="M65" s="103"/>
      <c r="N65" s="103"/>
      <c r="O65" s="103"/>
      <c r="P65" s="103" t="s">
        <v>145</v>
      </c>
      <c r="Q65" s="103"/>
      <c r="R65" s="103"/>
      <c r="S65" s="47"/>
      <c r="T65" s="230"/>
      <c r="U65" s="64"/>
      <c r="V65" s="64"/>
      <c r="W65" s="64"/>
      <c r="X65" s="64"/>
      <c r="Y65" s="64"/>
      <c r="Z65" s="64"/>
      <c r="AA65" s="64"/>
      <c r="AB65" s="64"/>
    </row>
    <row r="66" spans="2:28" ht="13.5" customHeight="1">
      <c r="B66" s="44"/>
      <c r="C66" s="40"/>
      <c r="D66" s="47"/>
      <c r="E66" s="46"/>
      <c r="F66" s="47"/>
      <c r="G66" s="47"/>
      <c r="H66" s="47"/>
      <c r="I66" s="47"/>
      <c r="J66" s="47"/>
      <c r="K66" s="47"/>
      <c r="L66" s="103"/>
      <c r="M66" s="103"/>
      <c r="N66" s="103"/>
      <c r="O66" s="47"/>
      <c r="P66" s="103"/>
      <c r="Q66" s="103"/>
      <c r="R66" s="103"/>
      <c r="S66" s="47"/>
      <c r="T66" s="230"/>
      <c r="U66" s="64"/>
      <c r="V66" s="233"/>
      <c r="W66" s="64"/>
      <c r="X66" s="64"/>
      <c r="Y66" s="64"/>
      <c r="Z66" s="64"/>
      <c r="AA66" s="64"/>
      <c r="AB66" s="64"/>
    </row>
    <row r="67" spans="2:28" ht="18.95" customHeight="1">
      <c r="B67" s="44"/>
      <c r="C67" s="40"/>
      <c r="D67" s="47"/>
      <c r="E67" s="437" t="s">
        <v>308</v>
      </c>
      <c r="F67" s="437"/>
      <c r="G67" s="437"/>
      <c r="H67" s="437"/>
      <c r="I67" s="437"/>
      <c r="J67" s="103"/>
      <c r="K67" s="103"/>
      <c r="L67" s="234"/>
      <c r="M67" s="183"/>
      <c r="N67" s="183"/>
      <c r="O67" s="161"/>
      <c r="P67" s="231" t="str">
        <f>IF(L67&gt;0,(1/(($P$49-(-IF(L62&gt;0,L62,8)))/L67)),"0")</f>
        <v>0</v>
      </c>
      <c r="Q67" s="232"/>
      <c r="R67" s="161" t="s">
        <v>222</v>
      </c>
      <c r="S67" s="47"/>
      <c r="T67" s="230"/>
      <c r="U67" s="64"/>
      <c r="V67" s="233"/>
      <c r="W67" s="64"/>
      <c r="X67" s="64"/>
      <c r="Y67" s="64"/>
      <c r="Z67" s="64"/>
      <c r="AA67" s="64"/>
      <c r="AB67" s="64"/>
    </row>
    <row r="68" spans="2:28" ht="22.5" customHeight="1">
      <c r="B68" s="44"/>
      <c r="C68" s="40"/>
      <c r="D68" s="47"/>
      <c r="E68" s="437" t="s">
        <v>309</v>
      </c>
      <c r="F68" s="437"/>
      <c r="G68" s="437"/>
      <c r="H68" s="437"/>
      <c r="I68" s="437"/>
      <c r="J68" s="103"/>
      <c r="K68" s="103"/>
      <c r="L68" s="234"/>
      <c r="M68" s="183"/>
      <c r="N68" s="183"/>
      <c r="O68" s="161"/>
      <c r="P68" s="231" t="str">
        <f>IF(L68&gt;0,(1/(($P$49-((IF(L15="Yes",IF('Stage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Tables'!AC52))))))))))))))/L68)),"0")</f>
        <v>0</v>
      </c>
      <c r="Q68" s="232"/>
      <c r="R68" s="161" t="s">
        <v>222</v>
      </c>
      <c r="S68" s="47"/>
      <c r="T68" s="230"/>
      <c r="U68" s="64"/>
      <c r="V68" s="64"/>
      <c r="W68" s="64"/>
      <c r="X68" s="64"/>
      <c r="Y68" s="64"/>
      <c r="Z68" s="64"/>
      <c r="AA68" s="64"/>
      <c r="AB68" s="64"/>
    </row>
    <row r="69" spans="2:28" ht="13.5" customHeight="1">
      <c r="B69" s="44"/>
      <c r="C69" s="40"/>
      <c r="D69" s="47"/>
      <c r="E69" s="437" t="s">
        <v>73</v>
      </c>
      <c r="F69" s="437"/>
      <c r="G69" s="437"/>
      <c r="H69" s="437"/>
      <c r="I69" s="437"/>
      <c r="J69" s="103"/>
      <c r="K69" s="103"/>
      <c r="L69" s="234"/>
      <c r="M69" s="183"/>
      <c r="N69" s="183"/>
      <c r="O69" s="161"/>
      <c r="P69" s="231" t="str">
        <f>IF(L69&gt;0,(1/(($P$49-'Data Tables'!L7)/L69)),"0")</f>
        <v>0</v>
      </c>
      <c r="Q69" s="232"/>
      <c r="R69" s="161" t="s">
        <v>222</v>
      </c>
      <c r="S69" s="47"/>
      <c r="T69" s="230"/>
      <c r="U69" s="64"/>
      <c r="V69" s="233"/>
      <c r="W69" s="64"/>
      <c r="X69" s="64"/>
      <c r="Y69" s="64"/>
      <c r="Z69" s="64"/>
      <c r="AA69" s="64"/>
      <c r="AB69" s="64"/>
    </row>
    <row r="70" spans="2:28" ht="16.5" customHeight="1">
      <c r="B70" s="44"/>
      <c r="C70" s="40"/>
      <c r="D70" s="47"/>
      <c r="E70" s="437" t="s">
        <v>69</v>
      </c>
      <c r="F70" s="437"/>
      <c r="G70" s="437"/>
      <c r="H70" s="437"/>
      <c r="I70" s="437"/>
      <c r="J70" s="103"/>
      <c r="K70" s="103"/>
      <c r="L70" s="234"/>
      <c r="M70" s="183"/>
      <c r="N70" s="183"/>
      <c r="O70" s="161"/>
      <c r="P70" s="231" t="str">
        <f>IF(L70&gt;0,(1/(($P$49-'Data Tables'!L5)/L70)),"0")</f>
        <v>0</v>
      </c>
      <c r="Q70" s="232"/>
      <c r="R70" s="161" t="s">
        <v>222</v>
      </c>
      <c r="S70" s="47"/>
      <c r="T70" s="230"/>
      <c r="U70" s="64"/>
      <c r="V70" s="64"/>
      <c r="W70" s="64"/>
      <c r="X70" s="64"/>
      <c r="Y70" s="64"/>
      <c r="Z70" s="64"/>
      <c r="AA70" s="64"/>
      <c r="AB70" s="64"/>
    </row>
    <row r="71" spans="2:28" ht="16.5" customHeight="1">
      <c r="B71" s="44"/>
      <c r="C71" s="40"/>
      <c r="D71" s="47"/>
      <c r="E71" s="437" t="s">
        <v>310</v>
      </c>
      <c r="F71" s="437"/>
      <c r="G71" s="437"/>
      <c r="H71" s="437"/>
      <c r="I71" s="437"/>
      <c r="J71" s="103"/>
      <c r="K71" s="103"/>
      <c r="L71" s="234"/>
      <c r="M71" s="183"/>
      <c r="N71" s="183"/>
      <c r="O71" s="161"/>
      <c r="P71" s="231" t="str">
        <f>IF(L71&gt;0,(1/(($P$49-'Data Tables'!L6)/L71)),"0")</f>
        <v>0</v>
      </c>
      <c r="Q71" s="232"/>
      <c r="R71" s="161" t="s">
        <v>222</v>
      </c>
      <c r="S71" s="47"/>
      <c r="T71" s="230"/>
      <c r="U71" s="64"/>
      <c r="V71" s="64"/>
      <c r="W71" s="64"/>
      <c r="X71" s="64"/>
      <c r="Y71" s="64"/>
      <c r="Z71" s="64"/>
      <c r="AA71" s="64"/>
      <c r="AB71" s="64"/>
    </row>
    <row r="72" spans="2:28" ht="16.5" customHeight="1">
      <c r="B72" s="44"/>
      <c r="C72" s="40"/>
      <c r="D72" s="47"/>
      <c r="E72" s="437" t="s">
        <v>311</v>
      </c>
      <c r="F72" s="437"/>
      <c r="G72" s="437"/>
      <c r="H72" s="437"/>
      <c r="I72" s="437"/>
      <c r="J72" s="103"/>
      <c r="K72" s="103"/>
      <c r="L72" s="234"/>
      <c r="M72" s="183"/>
      <c r="N72" s="183"/>
      <c r="O72" s="161"/>
      <c r="P72" s="231" t="str">
        <f>IF(L72&gt;0,(1/(($P$49-'Data Tables'!L4)/L72)),"0")</f>
        <v>0</v>
      </c>
      <c r="Q72" s="232"/>
      <c r="R72" s="161" t="s">
        <v>222</v>
      </c>
      <c r="S72" s="47"/>
      <c r="T72" s="230"/>
      <c r="U72" s="64"/>
      <c r="V72" s="64"/>
      <c r="W72" s="64"/>
      <c r="X72" s="64"/>
      <c r="Y72" s="64"/>
      <c r="Z72" s="64"/>
      <c r="AA72" s="64"/>
      <c r="AB72" s="64"/>
    </row>
    <row r="73" spans="2:28" ht="21.95" customHeight="1">
      <c r="B73" s="44"/>
      <c r="C73" s="40"/>
      <c r="D73" s="47"/>
      <c r="E73" s="47"/>
      <c r="F73" s="47"/>
      <c r="G73" s="47"/>
      <c r="H73" s="47"/>
      <c r="I73" s="47"/>
      <c r="J73" s="47"/>
      <c r="K73" s="47"/>
      <c r="L73" s="47"/>
      <c r="M73" s="47"/>
      <c r="N73" s="47"/>
      <c r="O73" s="161"/>
      <c r="P73" s="235"/>
      <c r="Q73" s="235"/>
      <c r="R73" s="161"/>
      <c r="S73" s="47"/>
      <c r="T73" s="230"/>
      <c r="U73" s="64"/>
      <c r="V73" s="64"/>
      <c r="W73" s="64"/>
      <c r="X73" s="64"/>
      <c r="Y73" s="64"/>
      <c r="Z73" s="64"/>
      <c r="AA73" s="64"/>
      <c r="AB73" s="64"/>
    </row>
    <row r="74" spans="2:28" ht="15.75" customHeight="1">
      <c r="B74" s="44"/>
      <c r="C74" s="40"/>
      <c r="D74" s="47"/>
      <c r="E74" s="47"/>
      <c r="F74" s="393" t="s">
        <v>316</v>
      </c>
      <c r="G74" s="393"/>
      <c r="H74" s="393"/>
      <c r="I74" s="393"/>
      <c r="J74" s="105"/>
      <c r="K74" s="47"/>
      <c r="L74" s="192" t="e">
        <f>L10-(SUM(L67:L72))</f>
        <v>#VALUE!</v>
      </c>
      <c r="M74" s="188"/>
      <c r="N74" s="188"/>
      <c r="O74" s="167"/>
      <c r="P74" s="203">
        <f>SUM(P67:P72)</f>
        <v>0</v>
      </c>
      <c r="Q74" s="236"/>
      <c r="R74" s="167" t="s">
        <v>222</v>
      </c>
      <c r="S74" s="47"/>
      <c r="T74" s="230"/>
      <c r="U74" s="64"/>
      <c r="V74" s="64"/>
      <c r="W74" s="64"/>
      <c r="X74" s="64"/>
      <c r="Y74" s="64"/>
      <c r="Z74" s="64"/>
      <c r="AA74" s="64"/>
      <c r="AB74" s="64"/>
    </row>
    <row r="75" spans="2:28" ht="18" customHeight="1">
      <c r="B75" s="44"/>
      <c r="C75" s="40"/>
      <c r="D75" s="47"/>
      <c r="E75" s="47"/>
      <c r="F75" s="47"/>
      <c r="G75" s="47"/>
      <c r="H75" s="47"/>
      <c r="I75" s="47"/>
      <c r="J75" s="47"/>
      <c r="K75" s="47"/>
      <c r="L75" s="47"/>
      <c r="M75" s="47"/>
      <c r="N75" s="47"/>
      <c r="O75" s="47"/>
      <c r="P75" s="47"/>
      <c r="Q75" s="47"/>
      <c r="R75" s="47"/>
      <c r="S75" s="47"/>
      <c r="T75" s="230"/>
      <c r="U75" s="64"/>
      <c r="V75" s="64"/>
      <c r="W75" s="64"/>
      <c r="X75" s="64"/>
      <c r="Y75" s="64"/>
      <c r="Z75" s="64"/>
      <c r="AA75" s="64"/>
      <c r="AB75" s="64"/>
    </row>
    <row r="76" spans="2:28" ht="66" customHeight="1">
      <c r="B76" s="44"/>
      <c r="C76" s="40"/>
      <c r="D76" s="47"/>
      <c r="E76" s="434" t="s">
        <v>317</v>
      </c>
      <c r="F76" s="434"/>
      <c r="G76" s="434"/>
      <c r="H76" s="434"/>
      <c r="I76" s="434"/>
      <c r="J76" s="434"/>
      <c r="K76" s="434"/>
      <c r="L76" s="434"/>
      <c r="M76" s="434"/>
      <c r="N76" s="434"/>
      <c r="O76" s="434"/>
      <c r="P76" s="434"/>
      <c r="Q76" s="434"/>
      <c r="R76" s="434"/>
      <c r="S76" s="434"/>
      <c r="T76" s="230"/>
      <c r="U76" s="64"/>
      <c r="V76" s="64"/>
      <c r="W76" s="64"/>
      <c r="X76" s="64"/>
      <c r="Y76" s="64"/>
      <c r="Z76" s="64"/>
      <c r="AA76" s="64"/>
      <c r="AB76" s="64"/>
    </row>
    <row r="77" spans="2:28" ht="15.6">
      <c r="B77" s="44"/>
      <c r="C77" s="40"/>
      <c r="D77" s="47"/>
      <c r="E77" s="47"/>
      <c r="F77" s="47"/>
      <c r="G77" s="47"/>
      <c r="H77" s="47"/>
      <c r="I77" s="47"/>
      <c r="J77" s="47"/>
      <c r="K77" s="47"/>
      <c r="L77" s="47"/>
      <c r="M77" s="47"/>
      <c r="N77" s="47"/>
      <c r="O77" s="47"/>
      <c r="P77" s="47"/>
      <c r="Q77" s="47"/>
      <c r="R77" s="47"/>
      <c r="S77" s="47"/>
      <c r="T77" s="230"/>
      <c r="U77" s="64"/>
      <c r="V77" s="64"/>
      <c r="W77" s="64"/>
      <c r="X77" s="64"/>
      <c r="Y77" s="64"/>
      <c r="Z77" s="64"/>
      <c r="AA77" s="64"/>
      <c r="AB77" s="64"/>
    </row>
    <row r="78" spans="2:28" ht="15.6">
      <c r="B78" s="44"/>
      <c r="C78" s="40"/>
      <c r="D78" s="47"/>
      <c r="E78" s="46" t="s">
        <v>277</v>
      </c>
      <c r="F78" s="47" t="s">
        <v>315</v>
      </c>
      <c r="G78" s="47"/>
      <c r="H78" s="47"/>
      <c r="I78" s="47"/>
      <c r="J78" s="47"/>
      <c r="K78" s="47"/>
      <c r="L78" s="103" t="s">
        <v>145</v>
      </c>
      <c r="M78" s="103"/>
      <c r="N78" s="103"/>
      <c r="O78" s="103"/>
      <c r="P78" s="103" t="s">
        <v>145</v>
      </c>
      <c r="Q78" s="103"/>
      <c r="R78" s="103"/>
      <c r="S78" s="47"/>
      <c r="T78" s="230"/>
      <c r="U78" s="64"/>
      <c r="V78" s="64"/>
      <c r="W78" s="64"/>
      <c r="X78" s="64"/>
      <c r="Y78" s="64"/>
      <c r="Z78" s="64"/>
      <c r="AA78" s="64"/>
      <c r="AB78" s="64"/>
    </row>
    <row r="79" spans="2:28" ht="15.6">
      <c r="B79" s="44"/>
      <c r="C79" s="40"/>
      <c r="D79" s="47"/>
      <c r="E79" s="46"/>
      <c r="F79" s="47"/>
      <c r="G79" s="47"/>
      <c r="H79" s="47"/>
      <c r="I79" s="47"/>
      <c r="J79" s="47"/>
      <c r="K79" s="47"/>
      <c r="L79" s="103"/>
      <c r="M79" s="103"/>
      <c r="N79" s="103"/>
      <c r="O79" s="47"/>
      <c r="P79" s="103"/>
      <c r="Q79" s="103"/>
      <c r="R79" s="103"/>
      <c r="S79" s="47"/>
      <c r="T79" s="230"/>
      <c r="U79" s="64"/>
      <c r="V79" s="64"/>
      <c r="W79" s="64"/>
      <c r="X79" s="64"/>
      <c r="Y79" s="64"/>
      <c r="Z79" s="64"/>
      <c r="AA79" s="64"/>
      <c r="AB79" s="64"/>
    </row>
    <row r="80" spans="2:28" ht="15.6">
      <c r="B80" s="44"/>
      <c r="C80" s="40"/>
      <c r="D80" s="47"/>
      <c r="E80" s="437" t="s">
        <v>308</v>
      </c>
      <c r="F80" s="437"/>
      <c r="G80" s="437"/>
      <c r="H80" s="437"/>
      <c r="I80" s="437"/>
      <c r="J80" s="103"/>
      <c r="K80" s="103"/>
      <c r="L80" s="199"/>
      <c r="M80" s="232"/>
      <c r="N80" s="232"/>
      <c r="O80" s="161"/>
      <c r="P80" s="187" t="e">
        <f>L80*($P$49-(-IF(L62&gt;0,L62,8)))</f>
        <v>#VALUE!</v>
      </c>
      <c r="Q80" s="183"/>
      <c r="R80" s="161" t="s">
        <v>199</v>
      </c>
      <c r="S80" s="47"/>
      <c r="T80" s="230"/>
      <c r="U80" s="64"/>
      <c r="V80" s="64"/>
      <c r="W80" s="64"/>
      <c r="X80" s="64"/>
      <c r="Y80" s="64"/>
      <c r="Z80" s="64"/>
      <c r="AA80" s="64"/>
      <c r="AB80" s="64"/>
    </row>
    <row r="81" spans="2:28" ht="15.6">
      <c r="B81" s="44"/>
      <c r="C81" s="40"/>
      <c r="D81" s="47"/>
      <c r="E81" s="437" t="s">
        <v>309</v>
      </c>
      <c r="F81" s="437"/>
      <c r="G81" s="437"/>
      <c r="H81" s="437"/>
      <c r="I81" s="437"/>
      <c r="J81" s="103"/>
      <c r="K81" s="103"/>
      <c r="L81" s="199"/>
      <c r="M81" s="232"/>
      <c r="N81" s="232"/>
      <c r="O81" s="161"/>
      <c r="P81" s="187" t="e">
        <f>L81*($P$49-((IF(L15="Yes",IF('Stage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f>
        <v>#VALUE!</v>
      </c>
      <c r="Q81" s="183"/>
      <c r="R81" s="161" t="s">
        <v>199</v>
      </c>
      <c r="S81" s="47"/>
      <c r="T81" s="230"/>
      <c r="U81" s="64"/>
      <c r="V81" s="64"/>
      <c r="W81" s="64"/>
      <c r="X81" s="64"/>
      <c r="Y81" s="64"/>
      <c r="Z81" s="64"/>
      <c r="AA81" s="64"/>
      <c r="AB81" s="64"/>
    </row>
    <row r="82" spans="2:28" ht="15.6">
      <c r="B82" s="44"/>
      <c r="C82" s="40"/>
      <c r="D82" s="47"/>
      <c r="E82" s="437" t="s">
        <v>73</v>
      </c>
      <c r="F82" s="437"/>
      <c r="G82" s="437"/>
      <c r="H82" s="437"/>
      <c r="I82" s="437"/>
      <c r="J82" s="103"/>
      <c r="K82" s="103"/>
      <c r="L82" s="199"/>
      <c r="M82" s="232"/>
      <c r="N82" s="232"/>
      <c r="O82" s="161"/>
      <c r="P82" s="187" t="e">
        <f>L82*($P$49-'Data Tables'!L7)</f>
        <v>#VALUE!</v>
      </c>
      <c r="Q82" s="183"/>
      <c r="R82" s="161" t="s">
        <v>199</v>
      </c>
      <c r="S82" s="47"/>
      <c r="T82" s="230"/>
      <c r="U82" s="64"/>
      <c r="V82" s="64"/>
      <c r="W82" s="64"/>
      <c r="X82" s="64"/>
      <c r="Y82" s="64"/>
      <c r="Z82" s="64"/>
      <c r="AA82" s="64"/>
      <c r="AB82" s="64"/>
    </row>
    <row r="83" spans="2:28" ht="15.6">
      <c r="B83" s="44"/>
      <c r="C83" s="40"/>
      <c r="D83" s="47"/>
      <c r="E83" s="437" t="s">
        <v>69</v>
      </c>
      <c r="F83" s="437"/>
      <c r="G83" s="437"/>
      <c r="H83" s="437"/>
      <c r="I83" s="437"/>
      <c r="J83" s="103"/>
      <c r="K83" s="103"/>
      <c r="L83" s="199"/>
      <c r="M83" s="232"/>
      <c r="N83" s="232"/>
      <c r="O83" s="161"/>
      <c r="P83" s="187" t="e">
        <f>L83*($P$49-'Data Tables'!L5)</f>
        <v>#VALUE!</v>
      </c>
      <c r="Q83" s="183"/>
      <c r="R83" s="161" t="s">
        <v>199</v>
      </c>
      <c r="S83" s="47"/>
      <c r="T83" s="230"/>
      <c r="U83" s="64"/>
      <c r="V83" s="64"/>
      <c r="W83" s="64"/>
      <c r="X83" s="64"/>
      <c r="Y83" s="64"/>
      <c r="Z83" s="64"/>
      <c r="AA83" s="64"/>
      <c r="AB83" s="64"/>
    </row>
    <row r="84" spans="2:28" ht="15.6">
      <c r="B84" s="44"/>
      <c r="C84" s="40"/>
      <c r="D84" s="47"/>
      <c r="E84" s="437" t="s">
        <v>310</v>
      </c>
      <c r="F84" s="437"/>
      <c r="G84" s="437"/>
      <c r="H84" s="437"/>
      <c r="I84" s="437"/>
      <c r="J84" s="103"/>
      <c r="K84" s="103"/>
      <c r="L84" s="199"/>
      <c r="M84" s="232"/>
      <c r="N84" s="232"/>
      <c r="O84" s="161"/>
      <c r="P84" s="187" t="e">
        <f>L84*($P$49-'Data Tables'!L6)</f>
        <v>#VALUE!</v>
      </c>
      <c r="Q84" s="183"/>
      <c r="R84" s="161" t="s">
        <v>199</v>
      </c>
      <c r="S84" s="47"/>
      <c r="T84" s="230"/>
      <c r="U84" s="64"/>
      <c r="V84" s="64"/>
      <c r="W84" s="64"/>
      <c r="X84" s="64"/>
      <c r="Y84" s="64"/>
      <c r="Z84" s="64"/>
      <c r="AA84" s="64"/>
      <c r="AB84" s="64"/>
    </row>
    <row r="85" spans="2:28" ht="15.6">
      <c r="B85" s="44"/>
      <c r="C85" s="40"/>
      <c r="D85" s="47"/>
      <c r="E85" s="437" t="s">
        <v>311</v>
      </c>
      <c r="F85" s="437"/>
      <c r="G85" s="437"/>
      <c r="H85" s="437"/>
      <c r="I85" s="437"/>
      <c r="J85" s="103"/>
      <c r="K85" s="103"/>
      <c r="L85" s="199"/>
      <c r="M85" s="232"/>
      <c r="N85" s="232"/>
      <c r="O85" s="161"/>
      <c r="P85" s="187" t="e">
        <f>L85*($P$49-'Data Tables'!L4)</f>
        <v>#VALUE!</v>
      </c>
      <c r="Q85" s="183"/>
      <c r="R85" s="161" t="s">
        <v>199</v>
      </c>
      <c r="S85" s="47"/>
      <c r="T85" s="230"/>
      <c r="U85" s="64"/>
      <c r="V85" s="64"/>
      <c r="W85" s="64"/>
      <c r="X85" s="64"/>
      <c r="Y85" s="64"/>
      <c r="Z85" s="64"/>
      <c r="AA85" s="64"/>
      <c r="AB85" s="64"/>
    </row>
    <row r="86" spans="2:28" ht="30" customHeight="1">
      <c r="B86" s="44"/>
      <c r="C86" s="40"/>
      <c r="D86" s="47"/>
      <c r="E86" s="47"/>
      <c r="F86" s="47"/>
      <c r="G86" s="47"/>
      <c r="H86" s="47"/>
      <c r="I86" s="47"/>
      <c r="J86" s="47"/>
      <c r="K86" s="47"/>
      <c r="L86" s="237"/>
      <c r="M86" s="237"/>
      <c r="N86" s="237"/>
      <c r="O86" s="161"/>
      <c r="P86" s="161"/>
      <c r="Q86" s="161"/>
      <c r="R86" s="161"/>
      <c r="S86" s="47"/>
      <c r="T86" s="230"/>
      <c r="U86" s="64"/>
      <c r="V86" s="64"/>
      <c r="W86" s="64"/>
      <c r="X86" s="64"/>
      <c r="Y86" s="64"/>
      <c r="Z86" s="64"/>
      <c r="AA86" s="64"/>
      <c r="AB86" s="64"/>
    </row>
    <row r="87" spans="2:28" ht="29.45" customHeight="1">
      <c r="B87" s="44"/>
      <c r="C87" s="40"/>
      <c r="D87" s="47"/>
      <c r="E87" s="47"/>
      <c r="F87" s="393" t="s">
        <v>316</v>
      </c>
      <c r="G87" s="393"/>
      <c r="H87" s="393"/>
      <c r="I87" s="393"/>
      <c r="J87" s="105"/>
      <c r="K87" s="47"/>
      <c r="L87" s="203">
        <f>(SUM(L80:L85))</f>
        <v>0</v>
      </c>
      <c r="M87" s="236"/>
      <c r="N87" s="236"/>
      <c r="O87" s="167"/>
      <c r="P87" s="192" t="e">
        <f>L10-(SUM(P80:P85))</f>
        <v>#VALUE!</v>
      </c>
      <c r="Q87" s="188"/>
      <c r="R87" s="167" t="s">
        <v>206</v>
      </c>
      <c r="S87" s="47"/>
      <c r="T87" s="230"/>
      <c r="U87" s="64"/>
      <c r="V87" s="64"/>
      <c r="W87" s="64"/>
      <c r="X87" s="64"/>
      <c r="Y87" s="64"/>
      <c r="Z87" s="64"/>
      <c r="AA87" s="64"/>
      <c r="AB87" s="64"/>
    </row>
    <row r="88" spans="2:28" ht="15" customHeight="1">
      <c r="B88" s="44"/>
      <c r="C88" s="40"/>
      <c r="D88" s="47"/>
      <c r="E88" s="47"/>
      <c r="F88" s="47"/>
      <c r="G88" s="47"/>
      <c r="H88" s="47"/>
      <c r="I88" s="47"/>
      <c r="J88" s="47"/>
      <c r="K88" s="47"/>
      <c r="L88" s="47"/>
      <c r="M88" s="47"/>
      <c r="N88" s="47"/>
      <c r="O88" s="47"/>
      <c r="P88" s="47"/>
      <c r="Q88" s="47"/>
      <c r="R88" s="47"/>
      <c r="S88" s="47"/>
      <c r="T88" s="230"/>
      <c r="U88" s="64"/>
      <c r="V88" s="64"/>
      <c r="W88" s="64"/>
      <c r="X88" s="64"/>
      <c r="Y88" s="64"/>
      <c r="Z88" s="64"/>
      <c r="AA88" s="64"/>
      <c r="AB88" s="64"/>
    </row>
    <row r="89" spans="2:28" ht="51.75" customHeight="1" thickBot="1">
      <c r="B89" s="48"/>
      <c r="C89" s="49"/>
      <c r="D89" s="228"/>
      <c r="E89" s="457" t="s">
        <v>318</v>
      </c>
      <c r="F89" s="457"/>
      <c r="G89" s="457"/>
      <c r="H89" s="457"/>
      <c r="I89" s="457"/>
      <c r="J89" s="457"/>
      <c r="K89" s="457"/>
      <c r="L89" s="457"/>
      <c r="M89" s="457"/>
      <c r="N89" s="457"/>
      <c r="O89" s="457"/>
      <c r="P89" s="457"/>
      <c r="Q89" s="457"/>
      <c r="R89" s="457"/>
      <c r="S89" s="457"/>
      <c r="T89" s="238"/>
      <c r="U89" s="64"/>
      <c r="V89" s="64"/>
      <c r="W89" s="64"/>
      <c r="X89" s="64"/>
      <c r="Y89" s="64"/>
      <c r="Z89" s="64"/>
      <c r="AA89" s="64"/>
      <c r="AB89" s="64"/>
    </row>
    <row r="90" spans="2:28" ht="18" customHeight="1">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row>
    <row r="93" spans="2:28"/>
    <row r="94" spans="2:28"/>
  </sheetData>
  <sheetProtection selectLockedCells="1"/>
  <mergeCells count="88">
    <mergeCell ref="S22:W22"/>
    <mergeCell ref="F3:S3"/>
    <mergeCell ref="E4:S6"/>
    <mergeCell ref="F8:K8"/>
    <mergeCell ref="F13:K13"/>
    <mergeCell ref="S15:W15"/>
    <mergeCell ref="E17:O17"/>
    <mergeCell ref="S17:X17"/>
    <mergeCell ref="S18:X18"/>
    <mergeCell ref="F19:K19"/>
    <mergeCell ref="S20:W20"/>
    <mergeCell ref="F21:K21"/>
    <mergeCell ref="S21:W21"/>
    <mergeCell ref="S23:W23"/>
    <mergeCell ref="R24:AB24"/>
    <mergeCell ref="F25:K25"/>
    <mergeCell ref="S25:W25"/>
    <mergeCell ref="E26:I26"/>
    <mergeCell ref="S26:W26"/>
    <mergeCell ref="Y26:AA26"/>
    <mergeCell ref="E27:I27"/>
    <mergeCell ref="S27:W27"/>
    <mergeCell ref="Y27:AA27"/>
    <mergeCell ref="E28:I28"/>
    <mergeCell ref="S28:W28"/>
    <mergeCell ref="Y28:AA28"/>
    <mergeCell ref="E29:I29"/>
    <mergeCell ref="S29:W29"/>
    <mergeCell ref="E30:I30"/>
    <mergeCell ref="S30:W30"/>
    <mergeCell ref="E31:I31"/>
    <mergeCell ref="S31:W31"/>
    <mergeCell ref="E32:I32"/>
    <mergeCell ref="S32:W32"/>
    <mergeCell ref="E33:I33"/>
    <mergeCell ref="S33:W33"/>
    <mergeCell ref="E34:I34"/>
    <mergeCell ref="S34:W34"/>
    <mergeCell ref="E40:I40"/>
    <mergeCell ref="S40:W40"/>
    <mergeCell ref="Y40:AA40"/>
    <mergeCell ref="E35:I35"/>
    <mergeCell ref="S35:W35"/>
    <mergeCell ref="E36:I36"/>
    <mergeCell ref="S36:W36"/>
    <mergeCell ref="E37:I37"/>
    <mergeCell ref="S37:W37"/>
    <mergeCell ref="E38:I38"/>
    <mergeCell ref="S38:W38"/>
    <mergeCell ref="E39:I39"/>
    <mergeCell ref="S39:W39"/>
    <mergeCell ref="Y39:AA39"/>
    <mergeCell ref="E54:I54"/>
    <mergeCell ref="E41:I41"/>
    <mergeCell ref="S41:W41"/>
    <mergeCell ref="Y41:AA41"/>
    <mergeCell ref="E42:I42"/>
    <mergeCell ref="S42:W42"/>
    <mergeCell ref="Y42:AA42"/>
    <mergeCell ref="S44:W44"/>
    <mergeCell ref="E46:I46"/>
    <mergeCell ref="S46:W46"/>
    <mergeCell ref="I49:O49"/>
    <mergeCell ref="F52:K52"/>
    <mergeCell ref="E70:I70"/>
    <mergeCell ref="E55:I55"/>
    <mergeCell ref="E56:I56"/>
    <mergeCell ref="E57:I57"/>
    <mergeCell ref="E58:I58"/>
    <mergeCell ref="E59:I59"/>
    <mergeCell ref="F61:K61"/>
    <mergeCell ref="G62:K62"/>
    <mergeCell ref="E63:S63"/>
    <mergeCell ref="E67:I67"/>
    <mergeCell ref="E68:I68"/>
    <mergeCell ref="E69:I69"/>
    <mergeCell ref="E89:S89"/>
    <mergeCell ref="E71:I71"/>
    <mergeCell ref="E72:I72"/>
    <mergeCell ref="F74:I74"/>
    <mergeCell ref="E76:S76"/>
    <mergeCell ref="E80:I80"/>
    <mergeCell ref="E81:I81"/>
    <mergeCell ref="E82:I82"/>
    <mergeCell ref="E83:I83"/>
    <mergeCell ref="E84:I84"/>
    <mergeCell ref="E85:I85"/>
    <mergeCell ref="F87:I87"/>
  </mergeCells>
  <dataValidations count="4">
    <dataValidation type="list" allowBlank="1" showInputMessage="1" showErrorMessage="1" sqref="X22" xr:uid="{9BBFE0CC-EADA-44FB-8264-2AF8CB828759}">
      <formula1>"650-675,675-700,700-750,750-800,800-850,850-900,900-950,950-1000,1000-1100,1100-1200,1200-1400"</formula1>
    </dataValidation>
    <dataValidation type="list" allowBlank="1" showInputMessage="1" showErrorMessage="1" sqref="X21" xr:uid="{72DC101C-2491-495A-A835-40FF0361606A}">
      <formula1>"Freely draining, Impermeable - drained for arable, Impermeable - drained for arable and grassland"</formula1>
    </dataValidation>
    <dataValidation type="list" allowBlank="1" showInputMessage="1" showErrorMessage="1" sqref="X20" xr:uid="{8E546157-BF25-4A68-93B4-34BEFB0C71D7}">
      <formula1>"Tone, Parrett, Brue &amp; Axe"</formula1>
    </dataValidation>
    <dataValidation type="list" allowBlank="1" showInputMessage="1" showErrorMessage="1" sqref="X15 L15 X23 N21 N26:N42 X26:X42" xr:uid="{9A56332D-AB55-41EA-B5DA-DE7E29628974}">
      <formula1>"Yes,No"</formula1>
    </dataValidation>
  </dataValidations>
  <pageMargins left="0.25" right="0.25" top="0.75" bottom="0.75" header="0.3" footer="0.3"/>
  <pageSetup paperSize="9" scale="45" orientation="portrait" horizontalDpi="360" verticalDpi="360" r:id="rId1"/>
  <headerFooter>
    <oddHeader>&amp;LPhosphate Budget Calculator&amp;CStage 5</oddHeader>
    <oddFooter>&amp;LVersion 2.2&amp;R&amp;D</oddFooter>
  </headerFooter>
  <customProperties>
    <customPr name="SSC_SHEET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2CD9C-922B-4D33-BE33-B74EF7A480E2}">
  <sheetPr codeName="Sheet10">
    <tabColor theme="7" tint="0.79998168889431442"/>
    <pageSetUpPr fitToPage="1"/>
  </sheetPr>
  <dimension ref="A1:BD94"/>
  <sheetViews>
    <sheetView workbookViewId="0"/>
  </sheetViews>
  <sheetFormatPr defaultRowHeight="12.6" zeroHeight="1"/>
  <cols>
    <col min="2" max="3" width="0.85546875" customWidth="1"/>
    <col min="4" max="4" width="2.28515625" customWidth="1"/>
    <col min="5" max="5" width="12.5703125" customWidth="1"/>
    <col min="7" max="7" width="10" customWidth="1"/>
    <col min="8" max="8" width="10.28515625" customWidth="1"/>
    <col min="9" max="9" width="21.5703125" customWidth="1"/>
    <col min="10" max="10" width="18.5703125" customWidth="1"/>
    <col min="11" max="11" width="13.140625" hidden="1" customWidth="1"/>
    <col min="12" max="12" width="12.85546875" customWidth="1"/>
    <col min="13" max="13" width="4.28515625" customWidth="1"/>
    <col min="14" max="14" width="8.85546875" customWidth="1"/>
    <col min="15" max="15" width="16.42578125" customWidth="1"/>
    <col min="16" max="16" width="13.85546875" customWidth="1"/>
    <col min="17" max="17" width="2.28515625" customWidth="1"/>
    <col min="18" max="18" width="11.7109375" customWidth="1"/>
    <col min="19" max="19" width="5.42578125" customWidth="1"/>
    <col min="20" max="20" width="0.85546875" customWidth="1"/>
    <col min="21" max="21" width="12.28515625" customWidth="1"/>
    <col min="23" max="23" width="25.5703125" customWidth="1"/>
    <col min="24" max="24" width="23.140625" customWidth="1"/>
    <col min="25" max="27" width="15.42578125" hidden="1" customWidth="1"/>
    <col min="28" max="28" width="2.140625" customWidth="1"/>
    <col min="30" max="30" width="12" bestFit="1" customWidth="1"/>
    <col min="33" max="33" width="8.7109375" customWidth="1"/>
  </cols>
  <sheetData>
    <row r="1" spans="1:28" ht="8.4499999999999993" customHeight="1" thickBot="1">
      <c r="A1" s="73" t="s">
        <v>283</v>
      </c>
    </row>
    <row r="2" spans="1:28" ht="11.45" customHeight="1">
      <c r="B2" s="41"/>
      <c r="C2" s="42"/>
      <c r="D2" s="219"/>
      <c r="E2" s="219"/>
      <c r="F2" s="219"/>
      <c r="G2" s="219"/>
      <c r="H2" s="219"/>
      <c r="I2" s="219"/>
      <c r="J2" s="219"/>
      <c r="K2" s="219"/>
      <c r="L2" s="219"/>
      <c r="M2" s="219"/>
      <c r="N2" s="219"/>
      <c r="O2" s="219"/>
      <c r="P2" s="219"/>
      <c r="Q2" s="219"/>
      <c r="R2" s="219"/>
      <c r="S2" s="219"/>
      <c r="T2" s="220"/>
      <c r="U2" s="151"/>
      <c r="V2" s="151"/>
      <c r="W2" s="151"/>
      <c r="X2" s="151"/>
      <c r="Y2" s="151"/>
      <c r="Z2" s="151"/>
      <c r="AA2" s="151"/>
      <c r="AB2" s="151"/>
    </row>
    <row r="3" spans="1:28" ht="28.5" customHeight="1">
      <c r="B3" s="44"/>
      <c r="C3" s="38"/>
      <c r="D3" s="195"/>
      <c r="E3" s="119" t="s">
        <v>31</v>
      </c>
      <c r="F3" s="440" t="s">
        <v>284</v>
      </c>
      <c r="G3" s="440"/>
      <c r="H3" s="440"/>
      <c r="I3" s="440"/>
      <c r="J3" s="440"/>
      <c r="K3" s="440"/>
      <c r="L3" s="440"/>
      <c r="M3" s="440"/>
      <c r="N3" s="440"/>
      <c r="O3" s="440"/>
      <c r="P3" s="440"/>
      <c r="Q3" s="440"/>
      <c r="R3" s="440"/>
      <c r="S3" s="440"/>
      <c r="T3" s="157"/>
      <c r="U3" s="151"/>
      <c r="V3" s="151"/>
      <c r="W3" s="151"/>
      <c r="X3" s="151"/>
      <c r="Y3" s="151"/>
      <c r="Z3" s="151"/>
      <c r="AA3" s="151"/>
      <c r="AB3" s="151"/>
    </row>
    <row r="4" spans="1:28" ht="6.75" customHeight="1">
      <c r="B4" s="44"/>
      <c r="C4" s="52"/>
      <c r="D4" s="196"/>
      <c r="E4" s="434" t="s">
        <v>321</v>
      </c>
      <c r="F4" s="434"/>
      <c r="G4" s="434"/>
      <c r="H4" s="434"/>
      <c r="I4" s="434"/>
      <c r="J4" s="434"/>
      <c r="K4" s="434"/>
      <c r="L4" s="434"/>
      <c r="M4" s="434"/>
      <c r="N4" s="434"/>
      <c r="O4" s="434"/>
      <c r="P4" s="434"/>
      <c r="Q4" s="434"/>
      <c r="R4" s="434"/>
      <c r="S4" s="434"/>
      <c r="T4" s="157"/>
      <c r="U4" s="151"/>
      <c r="V4" s="151"/>
      <c r="W4" s="151"/>
      <c r="X4" s="151"/>
      <c r="Y4" s="151"/>
      <c r="Z4" s="151"/>
      <c r="AA4" s="151"/>
      <c r="AB4" s="151"/>
    </row>
    <row r="5" spans="1:28" ht="6.75" customHeight="1">
      <c r="B5" s="44"/>
      <c r="C5" s="52"/>
      <c r="D5" s="196"/>
      <c r="E5" s="434"/>
      <c r="F5" s="434"/>
      <c r="G5" s="434"/>
      <c r="H5" s="434"/>
      <c r="I5" s="434"/>
      <c r="J5" s="434"/>
      <c r="K5" s="434"/>
      <c r="L5" s="434"/>
      <c r="M5" s="434"/>
      <c r="N5" s="434"/>
      <c r="O5" s="434"/>
      <c r="P5" s="434"/>
      <c r="Q5" s="434"/>
      <c r="R5" s="434"/>
      <c r="S5" s="434"/>
      <c r="T5" s="157"/>
      <c r="U5" s="151"/>
      <c r="V5" s="151"/>
      <c r="W5" s="151"/>
      <c r="X5" s="151"/>
      <c r="Y5" s="151"/>
      <c r="Z5" s="151"/>
      <c r="AA5" s="151"/>
      <c r="AB5" s="151"/>
    </row>
    <row r="6" spans="1:28" ht="53.25" customHeight="1">
      <c r="B6" s="44"/>
      <c r="C6" s="40"/>
      <c r="D6" s="149"/>
      <c r="E6" s="434"/>
      <c r="F6" s="434"/>
      <c r="G6" s="434"/>
      <c r="H6" s="434"/>
      <c r="I6" s="434"/>
      <c r="J6" s="434"/>
      <c r="K6" s="434"/>
      <c r="L6" s="434"/>
      <c r="M6" s="434"/>
      <c r="N6" s="434"/>
      <c r="O6" s="434"/>
      <c r="P6" s="434"/>
      <c r="Q6" s="434"/>
      <c r="R6" s="434"/>
      <c r="S6" s="434"/>
      <c r="T6" s="157"/>
      <c r="U6" s="151"/>
      <c r="V6" s="151"/>
      <c r="W6" s="151"/>
      <c r="X6" s="151"/>
      <c r="Y6" s="151"/>
      <c r="Z6" s="151"/>
      <c r="AA6" s="151"/>
      <c r="AB6" s="151"/>
    </row>
    <row r="7" spans="1:28" ht="21" customHeight="1">
      <c r="B7" s="44"/>
      <c r="C7" s="40"/>
      <c r="D7" s="191"/>
      <c r="E7" s="197"/>
      <c r="F7" s="197"/>
      <c r="G7" s="197"/>
      <c r="H7" s="197"/>
      <c r="I7" s="197"/>
      <c r="J7" s="197"/>
      <c r="K7" s="197"/>
      <c r="L7" s="197"/>
      <c r="M7" s="197"/>
      <c r="N7" s="197"/>
      <c r="O7" s="197"/>
      <c r="P7" s="197"/>
      <c r="Q7" s="197"/>
      <c r="R7" s="197"/>
      <c r="S7" s="197"/>
      <c r="T7" s="157"/>
      <c r="U7" s="151"/>
      <c r="V7" s="151"/>
      <c r="W7" s="151"/>
      <c r="X7" s="151"/>
      <c r="Y7" s="151"/>
      <c r="Z7" s="151"/>
      <c r="AA7" s="151"/>
      <c r="AB7" s="151"/>
    </row>
    <row r="8" spans="1:28" ht="37.5" customHeight="1">
      <c r="B8" s="44"/>
      <c r="C8" s="53"/>
      <c r="D8" s="149"/>
      <c r="E8" s="46" t="s">
        <v>143</v>
      </c>
      <c r="F8" s="394" t="s">
        <v>286</v>
      </c>
      <c r="G8" s="394"/>
      <c r="H8" s="394"/>
      <c r="I8" s="394"/>
      <c r="J8" s="394"/>
      <c r="K8" s="394"/>
      <c r="L8" s="103" t="s">
        <v>145</v>
      </c>
      <c r="M8" s="103"/>
      <c r="N8" s="103"/>
      <c r="O8" s="103" t="s">
        <v>146</v>
      </c>
      <c r="P8" s="103"/>
      <c r="Q8" s="103"/>
      <c r="R8" s="103"/>
      <c r="S8" s="47"/>
      <c r="T8" s="157"/>
      <c r="U8" s="151"/>
      <c r="V8" s="151"/>
      <c r="W8" s="151"/>
      <c r="X8" s="151"/>
      <c r="Y8" s="151"/>
      <c r="Z8" s="151"/>
      <c r="AA8" s="151"/>
      <c r="AB8" s="151"/>
    </row>
    <row r="9" spans="1:28" ht="4.5" customHeight="1">
      <c r="B9" s="44"/>
      <c r="C9" s="40"/>
      <c r="D9" s="149"/>
      <c r="E9" s="47"/>
      <c r="F9" s="47"/>
      <c r="G9" s="47"/>
      <c r="H9" s="47"/>
      <c r="I9" s="47"/>
      <c r="J9" s="47"/>
      <c r="K9" s="47"/>
      <c r="L9" s="47"/>
      <c r="M9" s="47"/>
      <c r="N9" s="47"/>
      <c r="O9" s="47"/>
      <c r="P9" s="47"/>
      <c r="Q9" s="47"/>
      <c r="R9" s="47"/>
      <c r="S9" s="47"/>
      <c r="T9" s="157"/>
      <c r="U9" s="151"/>
      <c r="V9" s="151"/>
      <c r="W9" s="151"/>
      <c r="X9" s="151"/>
      <c r="Y9" s="151"/>
      <c r="Z9" s="151"/>
      <c r="AA9" s="151"/>
      <c r="AB9" s="151"/>
    </row>
    <row r="10" spans="1:28" ht="30.95" customHeight="1">
      <c r="B10" s="44"/>
      <c r="C10" s="40"/>
      <c r="D10" s="149"/>
      <c r="E10" s="47"/>
      <c r="F10" s="37" t="s">
        <v>287</v>
      </c>
      <c r="G10" s="47"/>
      <c r="H10" s="47"/>
      <c r="I10" s="47"/>
      <c r="J10" s="47"/>
      <c r="K10" s="47"/>
      <c r="L10" s="192">
        <f>IF('Stage 4'!O38&gt;0,'Stage 4'!O38,0)</f>
        <v>0</v>
      </c>
      <c r="M10" s="188"/>
      <c r="N10" s="188"/>
      <c r="O10" s="167" t="s">
        <v>206</v>
      </c>
      <c r="P10" s="167"/>
      <c r="Q10" s="167"/>
      <c r="R10" s="167"/>
      <c r="S10" s="47"/>
      <c r="T10" s="157"/>
      <c r="U10" s="151"/>
      <c r="V10" s="151"/>
      <c r="W10" s="151"/>
      <c r="X10" s="151"/>
      <c r="Y10" s="151"/>
      <c r="Z10" s="151"/>
      <c r="AA10" s="151"/>
      <c r="AB10" s="151"/>
    </row>
    <row r="11" spans="1:28" ht="17.45" customHeight="1" thickBot="1">
      <c r="B11" s="44"/>
      <c r="C11" s="40"/>
      <c r="D11" s="149"/>
      <c r="E11" s="47"/>
      <c r="F11" s="47"/>
      <c r="G11" s="47"/>
      <c r="H11" s="47"/>
      <c r="I11" s="47"/>
      <c r="J11" s="47"/>
      <c r="K11" s="47"/>
      <c r="L11" s="47"/>
      <c r="M11" s="47"/>
      <c r="N11" s="47"/>
      <c r="O11" s="47"/>
      <c r="P11" s="47"/>
      <c r="Q11" s="47"/>
      <c r="R11" s="168"/>
      <c r="S11" s="168"/>
      <c r="T11" s="157"/>
      <c r="U11" s="221"/>
      <c r="V11" s="173"/>
      <c r="W11" s="173"/>
      <c r="X11" s="173"/>
      <c r="Y11" s="173"/>
      <c r="Z11" s="173"/>
      <c r="AA11" s="173"/>
      <c r="AB11" s="173"/>
    </row>
    <row r="12" spans="1:28" ht="6.95" customHeight="1">
      <c r="B12" s="44"/>
      <c r="C12" s="40"/>
      <c r="D12" s="191"/>
      <c r="E12" s="180"/>
      <c r="F12" s="180"/>
      <c r="G12" s="180"/>
      <c r="H12" s="180"/>
      <c r="I12" s="180"/>
      <c r="J12" s="180"/>
      <c r="K12" s="180"/>
      <c r="L12" s="180"/>
      <c r="M12" s="180"/>
      <c r="N12" s="180"/>
      <c r="O12" s="180"/>
      <c r="P12" s="180"/>
      <c r="Q12" s="180"/>
      <c r="R12" s="47"/>
      <c r="S12" s="47"/>
      <c r="T12" s="149"/>
      <c r="U12" s="149"/>
      <c r="V12" s="149"/>
      <c r="W12" s="149"/>
      <c r="X12" s="149"/>
      <c r="Y12" s="149"/>
      <c r="Z12" s="149"/>
      <c r="AA12" s="149"/>
      <c r="AB12" s="222"/>
    </row>
    <row r="13" spans="1:28" ht="15.95" customHeight="1">
      <c r="B13" s="44"/>
      <c r="C13" s="40"/>
      <c r="D13" s="149"/>
      <c r="E13" s="46" t="s">
        <v>167</v>
      </c>
      <c r="F13" s="394" t="s">
        <v>288</v>
      </c>
      <c r="G13" s="394"/>
      <c r="H13" s="394"/>
      <c r="I13" s="394"/>
      <c r="J13" s="394"/>
      <c r="K13" s="394"/>
      <c r="L13" s="47"/>
      <c r="M13" s="47"/>
      <c r="N13" s="47"/>
      <c r="O13" s="47"/>
      <c r="P13" s="47"/>
      <c r="Q13" s="47"/>
      <c r="R13" s="47"/>
      <c r="S13" s="47"/>
      <c r="T13" s="47"/>
      <c r="U13" s="47"/>
      <c r="V13" s="47"/>
      <c r="W13" s="47"/>
      <c r="X13" s="47"/>
      <c r="Y13" s="47"/>
      <c r="Z13" s="47"/>
      <c r="AA13" s="47"/>
      <c r="AB13" s="223"/>
    </row>
    <row r="14" spans="1:28" ht="10.5" customHeight="1">
      <c r="B14" s="44"/>
      <c r="C14" s="40"/>
      <c r="D14" s="149"/>
      <c r="E14" s="47"/>
      <c r="F14" s="47"/>
      <c r="G14" s="47"/>
      <c r="H14" s="47"/>
      <c r="I14" s="47"/>
      <c r="J14" s="47"/>
      <c r="K14" s="47"/>
      <c r="L14" s="47"/>
      <c r="M14" s="47"/>
      <c r="N14" s="47"/>
      <c r="O14" s="47"/>
      <c r="P14" s="179"/>
      <c r="Q14" s="47"/>
      <c r="R14" s="47"/>
      <c r="S14" s="47"/>
      <c r="T14" s="47"/>
      <c r="U14" s="47"/>
      <c r="V14" s="47"/>
      <c r="W14" s="47"/>
      <c r="X14" s="64"/>
      <c r="Y14" s="47"/>
      <c r="Z14" s="47"/>
      <c r="AA14" s="47"/>
      <c r="AB14" s="223"/>
    </row>
    <row r="15" spans="1:28" ht="14.45" customHeight="1">
      <c r="B15" s="44"/>
      <c r="C15" s="40"/>
      <c r="D15" s="149"/>
      <c r="E15" s="64" t="s">
        <v>289</v>
      </c>
      <c r="F15" s="47" t="s">
        <v>290</v>
      </c>
      <c r="G15" s="47"/>
      <c r="H15" s="47"/>
      <c r="I15" s="47"/>
      <c r="J15" s="47"/>
      <c r="K15" s="47"/>
      <c r="L15" s="160" t="s">
        <v>175</v>
      </c>
      <c r="M15" s="47"/>
      <c r="N15" s="47"/>
      <c r="O15" s="47"/>
      <c r="P15" s="179"/>
      <c r="Q15" s="47"/>
      <c r="R15" s="65" t="s">
        <v>291</v>
      </c>
      <c r="S15" s="394" t="s">
        <v>292</v>
      </c>
      <c r="T15" s="394"/>
      <c r="U15" s="394"/>
      <c r="V15" s="394"/>
      <c r="W15" s="394"/>
      <c r="X15" s="160" t="s">
        <v>175</v>
      </c>
      <c r="Y15" s="47"/>
      <c r="Z15" s="47"/>
      <c r="AA15" s="47"/>
      <c r="AB15" s="223"/>
    </row>
    <row r="16" spans="1:28" ht="14.45" customHeight="1">
      <c r="B16" s="44"/>
      <c r="C16" s="40"/>
      <c r="D16" s="149"/>
      <c r="E16" s="47"/>
      <c r="F16" s="47"/>
      <c r="G16" s="47"/>
      <c r="H16" s="47"/>
      <c r="I16" s="47"/>
      <c r="J16" s="47"/>
      <c r="K16" s="47"/>
      <c r="L16" s="47"/>
      <c r="M16" s="47"/>
      <c r="N16" s="47"/>
      <c r="O16" s="47"/>
      <c r="P16" s="179"/>
      <c r="Q16" s="47"/>
      <c r="R16" s="47"/>
      <c r="S16" s="47"/>
      <c r="T16" s="47"/>
      <c r="U16" s="47"/>
      <c r="V16" s="47"/>
      <c r="W16" s="47"/>
      <c r="X16" s="47"/>
      <c r="Y16" s="47"/>
      <c r="Z16" s="47"/>
      <c r="AA16" s="47"/>
      <c r="AB16" s="223"/>
    </row>
    <row r="17" spans="2:56" ht="45" customHeight="1">
      <c r="B17" s="44"/>
      <c r="C17" s="40"/>
      <c r="D17" s="149"/>
      <c r="E17" s="454" t="s">
        <v>293</v>
      </c>
      <c r="F17" s="454"/>
      <c r="G17" s="454"/>
      <c r="H17" s="454"/>
      <c r="I17" s="454"/>
      <c r="J17" s="454"/>
      <c r="K17" s="454"/>
      <c r="L17" s="454"/>
      <c r="M17" s="454"/>
      <c r="N17" s="454"/>
      <c r="O17" s="454"/>
      <c r="P17" s="179"/>
      <c r="Q17" s="47"/>
      <c r="R17" s="47"/>
      <c r="S17" s="454" t="s">
        <v>294</v>
      </c>
      <c r="T17" s="454"/>
      <c r="U17" s="454"/>
      <c r="V17" s="454"/>
      <c r="W17" s="454"/>
      <c r="X17" s="454"/>
      <c r="Y17" s="224"/>
      <c r="Z17" s="224"/>
      <c r="AA17" s="224"/>
      <c r="AB17" s="223"/>
    </row>
    <row r="18" spans="2:56" ht="27" customHeight="1">
      <c r="B18" s="44"/>
      <c r="C18" s="40"/>
      <c r="D18" s="149"/>
      <c r="E18" s="47"/>
      <c r="F18" s="47"/>
      <c r="G18" s="47"/>
      <c r="H18" s="47"/>
      <c r="I18" s="47"/>
      <c r="J18" s="47"/>
      <c r="K18" s="47"/>
      <c r="L18" s="47"/>
      <c r="M18" s="47"/>
      <c r="N18" s="47"/>
      <c r="O18" s="47"/>
      <c r="P18" s="179"/>
      <c r="Q18" s="47"/>
      <c r="R18" s="47"/>
      <c r="S18" s="394" t="s">
        <v>295</v>
      </c>
      <c r="T18" s="394"/>
      <c r="U18" s="394"/>
      <c r="V18" s="394"/>
      <c r="W18" s="394"/>
      <c r="X18" s="394"/>
      <c r="Y18" s="47"/>
      <c r="Z18" s="47"/>
      <c r="AA18" s="47"/>
      <c r="AB18" s="223"/>
    </row>
    <row r="19" spans="2:56" ht="15.95" customHeight="1">
      <c r="B19" s="44"/>
      <c r="C19" s="40"/>
      <c r="D19" s="149"/>
      <c r="E19" s="64"/>
      <c r="F19" s="394" t="s">
        <v>296</v>
      </c>
      <c r="G19" s="394"/>
      <c r="H19" s="394"/>
      <c r="I19" s="394"/>
      <c r="J19" s="394"/>
      <c r="K19" s="394"/>
      <c r="L19" s="103" t="s">
        <v>145</v>
      </c>
      <c r="M19" s="103"/>
      <c r="N19" s="103"/>
      <c r="O19" s="103" t="s">
        <v>146</v>
      </c>
      <c r="P19" s="179"/>
      <c r="Q19" s="47"/>
      <c r="R19" s="47"/>
      <c r="S19" s="148"/>
      <c r="T19" s="148"/>
      <c r="U19" s="148"/>
      <c r="V19" s="148"/>
      <c r="W19" s="148"/>
      <c r="X19" s="148"/>
      <c r="Y19" s="101"/>
      <c r="Z19" s="101"/>
      <c r="AA19" s="101"/>
      <c r="AB19" s="223"/>
    </row>
    <row r="20" spans="2:56" ht="13.5" customHeight="1">
      <c r="B20" s="44"/>
      <c r="C20" s="40"/>
      <c r="D20" s="149"/>
      <c r="E20" s="47"/>
      <c r="F20" s="47"/>
      <c r="G20" s="47"/>
      <c r="H20" s="47"/>
      <c r="I20" s="47"/>
      <c r="J20" s="47"/>
      <c r="K20" s="47"/>
      <c r="L20" s="103"/>
      <c r="M20" s="103"/>
      <c r="N20" s="103"/>
      <c r="O20" s="47"/>
      <c r="P20" s="179"/>
      <c r="Q20" s="47"/>
      <c r="R20" s="47"/>
      <c r="S20" s="394" t="s">
        <v>211</v>
      </c>
      <c r="T20" s="394"/>
      <c r="U20" s="394"/>
      <c r="V20" s="394"/>
      <c r="W20" s="394"/>
      <c r="X20" s="160" t="s">
        <v>212</v>
      </c>
      <c r="Y20" s="47"/>
      <c r="Z20" s="47"/>
      <c r="AA20" s="47"/>
      <c r="AB20" s="223"/>
    </row>
    <row r="21" spans="2:56" ht="54.75" customHeight="1">
      <c r="B21" s="44"/>
      <c r="C21" s="40"/>
      <c r="D21" s="149"/>
      <c r="E21" s="47"/>
      <c r="F21" s="393" t="s">
        <v>297</v>
      </c>
      <c r="G21" s="393"/>
      <c r="H21" s="393"/>
      <c r="I21" s="393"/>
      <c r="J21" s="393"/>
      <c r="K21" s="393"/>
      <c r="L21" s="192" t="e">
        <f>'Stage 2'!K48/'Stage 2'!K38</f>
        <v>#DIV/0!</v>
      </c>
      <c r="M21" s="188"/>
      <c r="N21" s="160" t="s">
        <v>175</v>
      </c>
      <c r="O21" s="167" t="s">
        <v>298</v>
      </c>
      <c r="P21" s="179"/>
      <c r="Q21" s="47"/>
      <c r="R21" s="46"/>
      <c r="S21" s="394" t="s">
        <v>213</v>
      </c>
      <c r="T21" s="394"/>
      <c r="U21" s="394"/>
      <c r="V21" s="394"/>
      <c r="W21" s="394"/>
      <c r="X21" s="178" t="s">
        <v>214</v>
      </c>
      <c r="Y21" s="101"/>
      <c r="Z21" s="101"/>
      <c r="AA21" s="101"/>
      <c r="AB21" s="223"/>
    </row>
    <row r="22" spans="2:56" ht="15.95" customHeight="1">
      <c r="B22" s="44"/>
      <c r="C22" s="40"/>
      <c r="D22" s="149"/>
      <c r="E22" s="47"/>
      <c r="F22" s="105"/>
      <c r="G22" s="105"/>
      <c r="H22" s="105"/>
      <c r="I22" s="105"/>
      <c r="J22" s="105"/>
      <c r="K22" s="105"/>
      <c r="L22" s="188"/>
      <c r="M22" s="188"/>
      <c r="N22" s="188"/>
      <c r="O22" s="167"/>
      <c r="P22" s="179"/>
      <c r="Q22" s="47"/>
      <c r="R22" s="46"/>
      <c r="S22" s="394" t="s">
        <v>215</v>
      </c>
      <c r="T22" s="394"/>
      <c r="U22" s="394"/>
      <c r="V22" s="394"/>
      <c r="W22" s="394"/>
      <c r="X22" s="160" t="s">
        <v>299</v>
      </c>
      <c r="Y22" s="101"/>
      <c r="Z22" s="101"/>
      <c r="AA22" s="101"/>
      <c r="AB22" s="223"/>
    </row>
    <row r="23" spans="2:56" ht="15.95" customHeight="1">
      <c r="B23" s="44"/>
      <c r="C23" s="40"/>
      <c r="D23" s="149"/>
      <c r="E23" s="47"/>
      <c r="F23" s="105"/>
      <c r="G23" s="105"/>
      <c r="H23" s="105"/>
      <c r="I23" s="105"/>
      <c r="J23" s="105"/>
      <c r="K23" s="105"/>
      <c r="L23" s="188"/>
      <c r="M23" s="188"/>
      <c r="N23" s="188"/>
      <c r="O23" s="167"/>
      <c r="P23" s="179"/>
      <c r="Q23" s="47"/>
      <c r="R23" s="46"/>
      <c r="S23" s="394" t="s">
        <v>218</v>
      </c>
      <c r="T23" s="394"/>
      <c r="U23" s="394"/>
      <c r="V23" s="394"/>
      <c r="W23" s="394"/>
      <c r="X23" s="160" t="s">
        <v>300</v>
      </c>
      <c r="Y23" s="101"/>
      <c r="Z23" s="101"/>
      <c r="AA23" s="101"/>
      <c r="AB23" s="223"/>
    </row>
    <row r="24" spans="2:56" ht="20.25" customHeight="1">
      <c r="B24" s="44"/>
      <c r="C24" s="40"/>
      <c r="D24" s="149"/>
      <c r="E24" s="47"/>
      <c r="F24" s="37"/>
      <c r="G24" s="47"/>
      <c r="H24" s="47"/>
      <c r="I24" s="47"/>
      <c r="J24" s="47"/>
      <c r="K24" s="47"/>
      <c r="L24" s="188"/>
      <c r="M24" s="188"/>
      <c r="N24" s="188"/>
      <c r="O24" s="167"/>
      <c r="P24" s="179"/>
      <c r="Q24" s="47"/>
      <c r="R24" s="455"/>
      <c r="S24" s="455"/>
      <c r="T24" s="455"/>
      <c r="U24" s="455"/>
      <c r="V24" s="455"/>
      <c r="W24" s="455"/>
      <c r="X24" s="455"/>
      <c r="Y24" s="455"/>
      <c r="Z24" s="455"/>
      <c r="AA24" s="455"/>
      <c r="AB24" s="456"/>
    </row>
    <row r="25" spans="2:56" ht="24" customHeight="1">
      <c r="B25" s="44"/>
      <c r="C25" s="40"/>
      <c r="D25" s="149"/>
      <c r="E25" s="47"/>
      <c r="F25" s="393" t="s">
        <v>301</v>
      </c>
      <c r="G25" s="393"/>
      <c r="H25" s="393"/>
      <c r="I25" s="393"/>
      <c r="J25" s="393"/>
      <c r="K25" s="393"/>
      <c r="L25" s="103"/>
      <c r="M25" s="103"/>
      <c r="N25" s="103"/>
      <c r="O25" s="167"/>
      <c r="P25" s="179"/>
      <c r="Q25" s="47"/>
      <c r="R25" s="47"/>
      <c r="S25" s="393" t="s">
        <v>302</v>
      </c>
      <c r="T25" s="393"/>
      <c r="U25" s="393"/>
      <c r="V25" s="393"/>
      <c r="W25" s="393"/>
      <c r="X25" s="47"/>
      <c r="Y25" s="198" t="s">
        <v>221</v>
      </c>
      <c r="Z25" s="198"/>
      <c r="AA25" s="198"/>
      <c r="AB25" s="223"/>
      <c r="AO25" s="94"/>
    </row>
    <row r="26" spans="2:56" ht="15.95" customHeight="1">
      <c r="B26" s="44"/>
      <c r="C26" s="40"/>
      <c r="D26" s="149"/>
      <c r="E26" s="437" t="str">
        <f>'Stage 2'!F19</f>
        <v>Residential urban</v>
      </c>
      <c r="F26" s="437"/>
      <c r="G26" s="437"/>
      <c r="H26" s="437"/>
      <c r="I26" s="437"/>
      <c r="J26" s="103"/>
      <c r="K26" s="225" t="str">
        <f>IF('Stage 2'!$K19&gt;0,SUM('Stage 2'!$O19,'Stage 2'!$P19,'Stage 2'!$Q19)/'Stage 2'!$K19,"")</f>
        <v/>
      </c>
      <c r="L26" s="310"/>
      <c r="M26" s="188"/>
      <c r="N26" s="160" t="s">
        <v>175</v>
      </c>
      <c r="O26" s="161" t="s">
        <v>298</v>
      </c>
      <c r="P26" s="179"/>
      <c r="Q26" s="47"/>
      <c r="R26" s="47"/>
      <c r="S26" s="437" t="str">
        <f t="shared" ref="S26:S37" si="0">E26</f>
        <v>Residential urban</v>
      </c>
      <c r="T26" s="437"/>
      <c r="U26" s="437"/>
      <c r="V26" s="437"/>
      <c r="W26" s="437"/>
      <c r="X26" s="160" t="s">
        <v>175</v>
      </c>
      <c r="Y26" s="458" t="e">
        <f>IF($X$15="Yes",IF($X$26="Yes",IF($X$22="650-675",'Data Tables'!Y42,IF($X$22="675-700",'Data Tables'!Y43,IF($X$22="700-750",'Data Tables'!Y44,IF($X$22="750-800",'Data Tables'!Y45,IF($X$22="800-850",'Data Tables'!Y46,IF($X$22="850-900",'Data Tables'!Y47,IF($X$22="900-950",'Data Tables'!Y48,IF($X$22="950-1000",'Data Tables'!Y49,IF($X$22="1000-1100",'Data Tables'!Y50,IF($X$22="1100-1200",'Data Tables'!Y51,'Data Tables'!Y52)))))))))),0),"")*(1-(X44/100))</f>
        <v>#VALUE!</v>
      </c>
      <c r="Z26" s="458"/>
      <c r="AA26" s="458"/>
      <c r="AB26" s="223"/>
      <c r="AN26" s="94"/>
      <c r="AP26" s="94"/>
    </row>
    <row r="27" spans="2:56" ht="15.95" customHeight="1">
      <c r="B27" s="44"/>
      <c r="C27" s="40"/>
      <c r="D27" s="149"/>
      <c r="E27" s="437" t="str">
        <f>'Stage 2'!F21</f>
        <v>Commercial / Industrial</v>
      </c>
      <c r="F27" s="437"/>
      <c r="G27" s="437"/>
      <c r="H27" s="437"/>
      <c r="I27" s="437"/>
      <c r="J27" s="103"/>
      <c r="K27" s="225" t="str">
        <f>IF('Stage 2'!$K21&gt;0,SUM('Stage 2'!$O21,'Stage 2'!$P21,'Stage 2'!$Q21)/'Stage 2'!$K21,"")</f>
        <v/>
      </c>
      <c r="L27" s="310"/>
      <c r="M27" s="188"/>
      <c r="N27" s="160" t="s">
        <v>175</v>
      </c>
      <c r="O27" s="161" t="s">
        <v>298</v>
      </c>
      <c r="P27" s="179"/>
      <c r="Q27" s="47"/>
      <c r="R27" s="47"/>
      <c r="S27" s="437" t="str">
        <f t="shared" si="0"/>
        <v>Commercial / Industrial</v>
      </c>
      <c r="T27" s="437"/>
      <c r="U27" s="437"/>
      <c r="V27" s="437"/>
      <c r="W27" s="437"/>
      <c r="X27" s="160" t="s">
        <v>175</v>
      </c>
      <c r="Y27" s="458" t="e">
        <f>IF($X$15="Yes",IF($X$27="Yes",IF($X$22="650-675",'Data Tables'!AB42,IF($X$22="675-700",'Data Tables'!AB43,IF($X$22="700-750",'Data Tables'!AB44,IF($X$22="750-800",'Data Tables'!AB45,IF($X$22="800-850",'Data Tables'!AB46,IF($X$22="850-900",'Data Tables'!AB47,IF($X$22="900-950",'Data Tables'!AB48,IF($X$22="950-1000",'Data Tables'!AB49,IF($X$22="1000-1100",'Data Tables'!AB50,IF($X$22="1100-1200",'Data Tables'!AB51,'Data Tables'!AB52)))))))))),0),"")*(1-(X44/100))</f>
        <v>#VALUE!</v>
      </c>
      <c r="Z27" s="458"/>
      <c r="AA27" s="458"/>
      <c r="AB27" s="223"/>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row>
    <row r="28" spans="2:56" ht="15.95" customHeight="1">
      <c r="B28" s="44"/>
      <c r="C28" s="40"/>
      <c r="D28" s="149"/>
      <c r="E28" s="437" t="str">
        <f>'Stage 2'!F22</f>
        <v>Urban open space</v>
      </c>
      <c r="F28" s="437"/>
      <c r="G28" s="437"/>
      <c r="H28" s="437"/>
      <c r="I28" s="437"/>
      <c r="J28" s="103"/>
      <c r="K28" s="225" t="str">
        <f>IF('Stage 2'!$K22&gt;0,SUM('Stage 2'!$O22,'Stage 2'!$P22,'Stage 2'!$Q22)/'Stage 2'!$K22,"")</f>
        <v/>
      </c>
      <c r="L28" s="310"/>
      <c r="M28" s="188"/>
      <c r="N28" s="160" t="s">
        <v>175</v>
      </c>
      <c r="O28" s="161" t="s">
        <v>298</v>
      </c>
      <c r="P28" s="179"/>
      <c r="Q28" s="47"/>
      <c r="R28" s="47"/>
      <c r="S28" s="437" t="str">
        <f t="shared" si="0"/>
        <v>Urban open space</v>
      </c>
      <c r="T28" s="437"/>
      <c r="U28" s="437"/>
      <c r="V28" s="437"/>
      <c r="W28" s="437"/>
      <c r="X28" s="160" t="s">
        <v>175</v>
      </c>
      <c r="Y28" s="458" t="e">
        <f>IF($X$15="Yes",IF($X$28="Yes",IF($X$22="650-675",'Data Tables'!AC42,IF($X$22="675-700",'Data Tables'!AC43,IF($X$22="700-750",'Data Tables'!AC44,IF($X$22="750-800",'Data Tables'!AC45,IF($X$22="800-850",'Data Tables'!AC46,IF($X$22="850-900",'Data Tables'!AC47,IF($X$22="900-950",'Data Tables'!AC48,IF($X$22="950-1000",'Data Tables'!AC49,IF($X$22="1000-1100",'Data Tables'!AC50,IF($X$22="1100-1200",'Data Tables'!AC51,'Data Tables'!AC52)))))))))),0),"")*(1-(X44/100))</f>
        <v>#VALUE!</v>
      </c>
      <c r="Z28" s="458"/>
      <c r="AA28" s="458"/>
      <c r="AB28" s="223"/>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row>
    <row r="29" spans="2:56" ht="15.95" customHeight="1">
      <c r="B29" s="44"/>
      <c r="C29" s="40"/>
      <c r="D29" s="149"/>
      <c r="E29" s="437" t="str">
        <f>'Stage 2'!F23</f>
        <v>Dairy</v>
      </c>
      <c r="F29" s="437"/>
      <c r="G29" s="437"/>
      <c r="H29" s="437"/>
      <c r="I29" s="437"/>
      <c r="J29" s="103"/>
      <c r="K29" s="225" t="str">
        <f>IF('Stage 2'!$K23&gt;0,SUM('Stage 2'!$O23,'Stage 2'!$P23,'Stage 2'!$Q23)/'Stage 2'!$K23,"")</f>
        <v/>
      </c>
      <c r="L29" s="310"/>
      <c r="M29" s="198"/>
      <c r="N29" s="160" t="s">
        <v>175</v>
      </c>
      <c r="O29" s="161" t="s">
        <v>298</v>
      </c>
      <c r="P29" s="179"/>
      <c r="Q29" s="47"/>
      <c r="R29" s="47"/>
      <c r="S29" s="437" t="str">
        <f t="shared" si="0"/>
        <v>Dairy</v>
      </c>
      <c r="T29" s="437"/>
      <c r="U29" s="437"/>
      <c r="V29" s="437"/>
      <c r="W29" s="437"/>
      <c r="X29" s="160" t="s">
        <v>175</v>
      </c>
      <c r="Y29" s="202" t="str">
        <f>IF($X$15="Yes",IF($X29="Yes",IF($X$20="Tone",((IF($X$21="Freely draining",IF($X$22="650-675",IF($X$23="Yes",'Data Tables'!O5,'Data Tables'!P5),IF($X$22="675-700",IF($X$23="Yes",'Data Tables'!O5,'Data Tables'!P5),IF($X$22="700-750",IF($X$23="Yes",'Data Tables'!U5,'Data Tables'!V5),IF($X$22="750-800",IF($X$23="Yes",'Data Tables'!U5,'Data Tables'!V5),IF($X$22="800-850",IF($X$23="Yes",'Data Tables'!U5,'Data Tables'!V5),IF($X$22="850-900",IF($X$23="Yes",'Data Tables'!U5,'Data Tables'!V5),IF($X$22="900-950",IF($X$23="Yes",'Data Tables'!AA5,'Data Tables'!AB5),IF($X$22="950-1000",IF($X$23="Yes",'Data Tables'!AA5,'Data Tables'!AB5),IF($X$22="1000-1100",IF($X$23="Yes",'Data Tables'!AA5,'Data Tables'!AB5),IF($X$22="1100-1200",IF($X$23="Yes",'Data Tables'!AA5,'Data Tables'!AB5),IF($X$23="Yes",'Data Tables'!AG5,'Data Tables'!AH5))))))))))),IF($X$21="Impermeable - drained for arable",IF($X$22="650-675",IF($X$23="Yes",'Data Tables'!Q5,'Data Tables'!R5),IF($X$22="675-700",IF($X$23="Yes",'Data Tables'!Q5,'Data Tables'!R5),IF($X$22="700-750",IF($X$23="Yes",'Data Tables'!W5,'Data Tables'!X5),IF($X$22="750-800",IF($X$23="Yes",'Data Tables'!W5,'Data Tables'!X5),IF($X$22="800-850",IF($X$23="Yes",'Data Tables'!W5,'Data Tables'!X5),IF($X$22="850-900",IF($X$23="Yes",'Data Tables'!W5,'Data Tables'!X5),IF($X$22="900-950",IF($X$23="Yes",'Data Tables'!AC5,'Data Tables'!AD5),IF($X$22="950-1000",IF($X$23="Yes",'Data Tables'!AC5,'Data Tables'!AD5),IF($X$22="1000-1100",IF($X$23="Yes",'Data Tables'!AC5,'Data Tables'!AD5),IF($X$22="1100-1200",IF($X$23="Yes",'Data Tables'!AC5,'Data Tables'!AD5),IF($X$23="Yes",'Data Tables'!AI5,'Data Tables'!AJ5))))))))))),IF($X$22="650-675",IF($X$23="Yes",'Data Tables'!S5,'Data Tables'!T5),IF($X$22="675-700",IF($X$23="Yes",'Data Tables'!S5,'Data Tables'!T5),IF($X$22="700-750",IF($X$23="Yes",'Data Tables'!Y5,'Data Tables'!Z5),IF($X$22="750-800",IF($X$23="Yes",'Data Tables'!Y5,'Data Tables'!Z5),IF($X$22="800-850",IF($X$23="Yes",'Data Tables'!Y5,'Data Tables'!Z5),IF($X$22="850-900",IF($X$23="Yes",'Data Tables'!Y5,'Data Tables'!Z5),IF($X$22="900-950",IF($X$23="Yes",'Data Tables'!AE5,'Data Tables'!AF5),IF($X$22="950-1000",IF($X$23="Yes",'Data Tables'!AE5,'Data Tables'!AF5),IF($X$22="1000-1100",IF($X$23="Yes",'Data Tables'!AE5,'Data Tables'!AF5),IF($X$22="1100-1200",IF($X$23="Yes",'Data Tables'!AE5,'Data Tables'!AF5),IF($X$23="Yes",'Data Tables'!AK5,'Data Tables'!AL5))))))))))))))),""),""),"")</f>
        <v/>
      </c>
      <c r="Z29" s="202" t="str">
        <f>IF($X$15="Yes",IF($X29="Yes",IF($X$20="Parrett",((IF($X$21="Freely draining",IF($X$22="650-675",IF($X$23="Yes",'Data Tables'!O17,'Data Tables'!P17),IF($X$22="675-700",IF($X$23="Yes",'Data Tables'!O17,'Data Tables'!P17),IF($X$22="700-750",IF($X$23="Yes",'Data Tables'!U17,'Data Tables'!V17),IF($X$22="750-800",IF($X$23="Yes",'Data Tables'!U17,'Data Tables'!V17),IF($X$22="800-850",IF($X$23="Yes",'Data Tables'!U17,'Data Tables'!V17),IF($X$22="850-900",IF($X$23="Yes",'Data Tables'!U17,'Data Tables'!V17),IF($X$22="900-950",IF($X$23="Yes",'Data Tables'!AA17,'Data Tables'!AB17),IF($X$22="950-1000",IF($X$23="Yes",'Data Tables'!AA17,'Data Tables'!AB17),IF($X$22="1000-1100",IF($X$23="Yes",'Data Tables'!AA17,'Data Tables'!AB17),IF($X$22="1100-1200",IF($X$23="Yes",'Data Tables'!AA17,'Data Tables'!AB17),IF($X$23="Yes",'Data Tables'!AG17,'Data Tables'!AH17))))))))))),IF($X$21="Impermeable - drained for arable",IF($X$22="650-675",IF($X$23="Yes",'Data Tables'!Q17,'Data Tables'!R17),IF($X$22="675-700",IF($X$23="Yes",'Data Tables'!Q17,'Data Tables'!R17),IF($X$22="700-750",IF($X$23="Yes",'Data Tables'!W17,'Data Tables'!X17),IF($X$22="750-800",IF($X$23="Yes",'Data Tables'!W17,'Data Tables'!X17),IF($X$22="800-850",IF($X$23="Yes",'Data Tables'!W17,'Data Tables'!X17),IF($X$22="850-900",IF($X$23="Yes",'Data Tables'!W17,'Data Tables'!X17),IF($X$22="900-950",IF($X$23="Yes",'Data Tables'!AC17,'Data Tables'!AD17),IF($X$22="950-1000",IF($X$23="Yes",'Data Tables'!AC17,'Data Tables'!AD17),IF($X$22="1000-1100",IF($X$23="Yes",'Data Tables'!AC17,'Data Tables'!AD17),IF($X$22="1100-1200",IF($X$23="Yes",'Data Tables'!AC17,'Data Tables'!AD17),IF($X$23="Yes",'Data Tables'!AI17,'Data Tables'!AJ17))))))))))),IF($X$22="650-675",IF($X$23="Yes",'Data Tables'!S17,'Data Tables'!T17),IF($X$22="675-700",IF($X$23="Yes",'Data Tables'!S17,'Data Tables'!T17),IF($X$22="700-750",IF($X$23="Yes",'Data Tables'!Y17,'Data Tables'!Z17),IF($X$22="750-800",IF($X$23="Yes",'Data Tables'!Y17,'Data Tables'!Z17),IF($X$22="800-850",IF($X$23="Yes",'Data Tables'!Y17,'Data Tables'!Z17),IF($X$22="850-900",IF($X$23="Yes",'Data Tables'!Y17,'Data Tables'!Z17),IF($X$22="900-950",IF($X$23="Yes",'Data Tables'!AE17,'Data Tables'!AF17),IF($X$22="950-1000",IF($X$23="Yes",'Data Tables'!AE17,'Data Tables'!AF17),IF($X$22="1000-1100",IF($X$23="Yes",'Data Tables'!AE17,'Data Tables'!AF17),IF($X$22="1100-1200",IF($X$23="Yes",'Data Tables'!AE17,'Data Tables'!AF17),IF($X$23="Yes",'Data Tables'!AK17,'Data Tables'!AL17))))))))))))))),""),""),"")</f>
        <v/>
      </c>
      <c r="AA29" s="202" t="str">
        <f>IF($X$15="Yes",IF($X29="Yes",IF($X$20="Brue &amp; Axe",IF($X$21="Freely draining",IF($X$22="650-675",IF($X$23="Yes",'Data Tables'!O29,'Data Tables'!P29),IF($X$22="675-700",IF($X$23="Yes",'Data Tables'!O29,'Data Tables'!P29),IF($X$22="700-750",IF($X$23="Yes",'Data Tables'!U29,'Data Tables'!V29),IF($X$22="750-800",IF($X$23="Yes",'Data Tables'!U29,'Data Tables'!V29),IF($X$22="800-850",IF($X$23="Yes",'Data Tables'!U29,'Data Tables'!V29),IF($X$22="850-900",IF($X$23="Yes",'Data Tables'!U29,'Data Tables'!V29),IF($X$22="900-950",IF($X$23="Yes",'Data Tables'!AA29,'Data Tables'!AB29),IF($X$22="950-1000",IF($X$23="Yes",'Data Tables'!AA29,'Data Tables'!AB29),IF($X$22="1000-1100",IF($X$23="Yes",'Data Tables'!AA29,'Data Tables'!AB29),IF($X$22="1100-1200",IF($X$23="Yes",'Data Tables'!AA29,'Data Tables'!AB29),IF($X$23="Yes",'Data Tables'!AG29,'Data Tables'!AH29))))))))))),IF($X$21="Impermeable - drained for arable",IF($X$22="650-675",IF($X$23="Yes",'Data Tables'!Q29,'Data Tables'!R29),IF($X$22="675-700",IF($X$23="Yes",'Data Tables'!Q29,'Data Tables'!R29),IF($X$22="700-750",IF($X$23="Yes",'Data Tables'!W29,'Data Tables'!X29),IF($X$22="750-800",IF($X$23="Yes",'Data Tables'!W29,'Data Tables'!X29),IF($X$22="800-850",IF($X$23="Yes",'Data Tables'!W29,'Data Tables'!X29),IF($X$22="850-900",IF($X$23="Yes",'Data Tables'!W29,'Data Tables'!X29),IF($X$22="900-950",IF($X$23="Yes",'Data Tables'!AC29,'Data Tables'!AD29),IF($X$22="950-1000",IF($X$23="Yes",'Data Tables'!AC29,'Data Tables'!AD29),IF($X$22="1000-1100",IF($X$23="Yes",'Data Tables'!AC29,'Data Tables'!AD29),IF($X$22="1100-1200",IF($X$23="Yes",'Data Tables'!AC29,'Data Tables'!AD29),IF($X$23="Yes",'Data Tables'!AI29,'Data Tables'!AJ29))))))))))),IF($X$22="650-675",IF($X$23="Yes",'Data Tables'!S29,'Data Tables'!T29),IF($X$22="675-700",IF($X$23="Yes",'Data Tables'!S29,'Data Tables'!T29),IF($X$22="700-750",IF($X$23="Yes",'Data Tables'!Y29,'Data Tables'!Z29),IF($X$22="750-800",IF($X$23="Yes",'Data Tables'!Y29,'Data Tables'!Z29),IF($X$22="800-850",IF($X$23="Yes",'Data Tables'!Y29,'Data Tables'!Z29),IF($X$22="850-900",IF($X$23="Yes",'Data Tables'!Y29,'Data Tables'!Z29),IF($X$22="900-950",IF($X$23="Yes",'Data Tables'!AE29,'Data Tables'!AF29),IF($X$22="950-1000",IF($X$23="Yes",'Data Tables'!AE29,'Data Tables'!AF29),IF($X$22="1000-1100",IF($X$23="Yes",'Data Tables'!AE29,'Data Tables'!AF29),IF($X$22="1100-1200",IF($X$23="Yes",'Data Tables'!AE29,'Data Tables'!AF29),IF($X$23="Yes",'Data Tables'!AK29,'Data Tables'!AL29))))))))))))),""),""),"")</f>
        <v/>
      </c>
      <c r="AB29" s="223"/>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row>
    <row r="30" spans="2:56" ht="15.95" customHeight="1">
      <c r="B30" s="44"/>
      <c r="C30" s="40"/>
      <c r="D30" s="149"/>
      <c r="E30" s="437" t="str">
        <f>'Stage 2'!F24</f>
        <v>Lowland grazing</v>
      </c>
      <c r="F30" s="437"/>
      <c r="G30" s="437"/>
      <c r="H30" s="437"/>
      <c r="I30" s="437"/>
      <c r="J30" s="103"/>
      <c r="K30" s="225" t="str">
        <f>IF('Stage 2'!$K24&gt;0,SUM('Stage 2'!$O24,'Stage 2'!$P24,'Stage 2'!$Q24)/'Stage 2'!$K24,"")</f>
        <v/>
      </c>
      <c r="L30" s="310"/>
      <c r="M30" s="152"/>
      <c r="N30" s="160" t="s">
        <v>175</v>
      </c>
      <c r="O30" s="161" t="s">
        <v>298</v>
      </c>
      <c r="P30" s="179"/>
      <c r="Q30" s="47"/>
      <c r="R30" s="47"/>
      <c r="S30" s="437" t="str">
        <f t="shared" si="0"/>
        <v>Lowland grazing</v>
      </c>
      <c r="T30" s="437"/>
      <c r="U30" s="437"/>
      <c r="V30" s="437"/>
      <c r="W30" s="437"/>
      <c r="X30" s="160" t="s">
        <v>300</v>
      </c>
      <c r="Y30" s="202" t="str">
        <f>IF($X$15="Yes",IF($X30="Yes",IF($X$20="Tone",((IF($X$21="Freely draining",IF($X$22="650-675",IF($X$23="Yes",'Data Tables'!O6,'Data Tables'!P6),IF($X$22="675-700",IF($X$23="Yes",'Data Tables'!O6,'Data Tables'!P6),IF($X$22="700-750",IF($X$23="Yes",'Data Tables'!U6,'Data Tables'!V6),IF($X$22="750-800",IF($X$23="Yes",'Data Tables'!U6,'Data Tables'!V6),IF($X$22="800-850",IF($X$23="Yes",'Data Tables'!U6,'Data Tables'!V6),IF($X$22="850-900",IF($X$23="Yes",'Data Tables'!U6,'Data Tables'!V6),IF($X$22="900-950",IF($X$23="Yes",'Data Tables'!AA6,'Data Tables'!AB6),IF($X$22="950-1000",IF($X$23="Yes",'Data Tables'!AA6,'Data Tables'!AB6),IF($X$22="1000-1100",IF($X$23="Yes",'Data Tables'!AA6,'Data Tables'!AB6),IF($X$22="1100-1200",IF($X$23="Yes",'Data Tables'!AA6,'Data Tables'!AB6),IF($X$23="Yes",'Data Tables'!AG6,'Data Tables'!AH6))))))))))),IF($X$21="Impermeable - drained for arable",IF($X$22="650-675",IF($X$23="Yes",'Data Tables'!Q6,'Data Tables'!R6),IF($X$22="675-700",IF($X$23="Yes",'Data Tables'!Q6,'Data Tables'!R6),IF($X$22="700-750",IF($X$23="Yes",'Data Tables'!W6,'Data Tables'!X6),IF($X$22="750-800",IF($X$23="Yes",'Data Tables'!W6,'Data Tables'!X6),IF($X$22="800-850",IF($X$23="Yes",'Data Tables'!W6,'Data Tables'!X6),IF($X$22="850-900",IF($X$23="Yes",'Data Tables'!W6,'Data Tables'!X6),IF($X$22="900-950",IF($X$23="Yes",'Data Tables'!AC6,'Data Tables'!AD6),IF($X$22="950-1000",IF($X$23="Yes",'Data Tables'!AC6,'Data Tables'!AD6),IF($X$22="1000-1100",IF($X$23="Yes",'Data Tables'!AC6,'Data Tables'!AD6),IF($X$22="1100-1200",IF($X$23="Yes",'Data Tables'!AC6,'Data Tables'!AD6),IF($X$23="Yes",'Data Tables'!AI6,'Data Tables'!AJ6))))))))))),IF($X$22="650-675",IF($X$23="Yes",'Data Tables'!S6,'Data Tables'!T6),IF($X$22="675-700",IF($X$23="Yes",'Data Tables'!S6,'Data Tables'!T6),IF($X$22="700-750",IF($X$23="Yes",'Data Tables'!Y6,'Data Tables'!Z6),IF($X$22="750-800",IF($X$23="Yes",'Data Tables'!Y6,'Data Tables'!Z6),IF($X$22="800-850",IF($X$23="Yes",'Data Tables'!Y6,'Data Tables'!Z6),IF($X$22="850-900",IF($X$23="Yes",'Data Tables'!Y6,'Data Tables'!Z6),IF($X$22="900-950",IF($X$23="Yes",'Data Tables'!AE6,'Data Tables'!AF6),IF($X$22="950-1000",IF($X$23="Yes",'Data Tables'!AE6,'Data Tables'!AF6),IF($X$22="1000-1100",IF($X$23="Yes",'Data Tables'!AE6,'Data Tables'!AF6),IF($X$22="1100-1200",IF($X$23="Yes",'Data Tables'!AE6,'Data Tables'!AF6),IF($X$23="Yes",'Data Tables'!AK6,'Data Tables'!AL6))))))))))))))),""),0),"")</f>
        <v/>
      </c>
      <c r="Z30" s="202" t="str">
        <f>IF($X$15="Yes",IF($X30="Yes",IF($X$20="Parrett",((IF($X$21="Freely draining",IF($X$22="650-675",IF($X$23="Yes",'Data Tables'!O18,'Data Tables'!P18),IF($X$22="675-700",IF($X$23="Yes",'Data Tables'!O18,'Data Tables'!P18),IF($X$22="700-750",IF($X$23="Yes",'Data Tables'!U18,'Data Tables'!V18),IF($X$22="750-800",IF($X$23="Yes",'Data Tables'!U18,'Data Tables'!V18),IF($X$22="800-850",IF($X$23="Yes",'Data Tables'!U18,'Data Tables'!V18),IF($X$22="850-900",IF($X$23="Yes",'Data Tables'!U18,'Data Tables'!V18),IF($X$22="900-950",IF($X$23="Yes",'Data Tables'!AA18,'Data Tables'!AB18),IF($X$22="950-1000",IF($X$23="Yes",'Data Tables'!AA18,'Data Tables'!AB18),IF($X$22="1000-1100",IF($X$23="Yes",'Data Tables'!AA18,'Data Tables'!AB18),IF($X$22="1100-1200",IF($X$23="Yes",'Data Tables'!AA18,'Data Tables'!AB18),IF($X$23="Yes",'Data Tables'!AG18,'Data Tables'!AH18))))))))))),IF($X$21="Impermeable - drained for arable",IF($X$22="650-675",IF($X$23="Yes",'Data Tables'!Q18,'Data Tables'!R18),IF($X$22="675-700",IF($X$23="Yes",'Data Tables'!Q18,'Data Tables'!R18),IF($X$22="700-750",IF($X$23="Yes",'Data Tables'!W18,'Data Tables'!X18),IF($X$22="750-800",IF($X$23="Yes",'Data Tables'!W18,'Data Tables'!X18),IF($X$22="800-850",IF($X$23="Yes",'Data Tables'!W18,'Data Tables'!X18),IF($X$22="850-900",IF($X$23="Yes",'Data Tables'!W18,'Data Tables'!X18),IF($X$22="900-950",IF($X$23="Yes",'Data Tables'!AC18,'Data Tables'!AD18),IF($X$22="950-1000",IF($X$23="Yes",'Data Tables'!AC18,'Data Tables'!AD18),IF($X$22="1000-1100",IF($X$23="Yes",'Data Tables'!AC18,'Data Tables'!AD18),IF($X$22="1100-1200",IF($X$23="Yes",'Data Tables'!AC18,'Data Tables'!AD18),IF($X$23="Yes",'Data Tables'!AI18,'Data Tables'!AJ18))))))))))),IF($X$22="650-675",IF($X$23="Yes",'Data Tables'!S18,'Data Tables'!T18),IF($X$22="675-700",IF($X$23="Yes",'Data Tables'!S18,'Data Tables'!T18),IF($X$22="700-750",IF($X$23="Yes",'Data Tables'!Y18,'Data Tables'!Z18),IF($X$22="750-800",IF($X$23="Yes",'Data Tables'!Y18,'Data Tables'!Z18),IF($X$22="800-850",IF($X$23="Yes",'Data Tables'!Y18,'Data Tables'!Z18),IF($X$22="850-900",IF($X$23="Yes",'Data Tables'!Y18,'Data Tables'!Z18),IF($X$22="900-950",IF($X$23="Yes",'Data Tables'!AE18,'Data Tables'!AF18),IF($X$22="950-1000",IF($X$23="Yes",'Data Tables'!AE18,'Data Tables'!AF18),IF($X$22="1000-1100",IF($X$23="Yes",'Data Tables'!AE18,'Data Tables'!AF18),IF($X$22="1100-1200",IF($X$23="Yes",'Data Tables'!AE18,'Data Tables'!AF18),IF($X$23="Yes",'Data Tables'!AK18,'Data Tables'!AL18))))))))))))))),""),""),"")</f>
        <v/>
      </c>
      <c r="AA30" s="202" t="str">
        <f>IF($X$15="Yes",IF($X30="Yes",IF($X$20="Brue &amp; Axe",IF($X$21="Freely draining",IF($X$22="650-675",IF($X$23="Yes",'Data Tables'!O30,'Data Tables'!P30),IF($X$22="675-700",IF($X$23="Yes",'Data Tables'!O30,'Data Tables'!P30),IF($X$22="700-750",IF($X$23="Yes",'Data Tables'!U30,'Data Tables'!V30),IF($X$22="750-800",IF($X$23="Yes",'Data Tables'!U30,'Data Tables'!V30),IF($X$22="800-850",IF($X$23="Yes",'Data Tables'!U30,'Data Tables'!V30),IF($X$22="850-900",IF($X$23="Yes",'Data Tables'!U30,'Data Tables'!V30),IF($X$22="900-950",IF($X$23="Yes",'Data Tables'!AA30,'Data Tables'!AB30),IF($X$22="950-1000",IF($X$23="Yes",'Data Tables'!AA30,'Data Tables'!AB30),IF($X$22="1000-1100",IF($X$23="Yes",'Data Tables'!AA30,'Data Tables'!AB30),IF($X$22="1100-1200",IF($X$23="Yes",'Data Tables'!AA30,'Data Tables'!AB30),IF($X$23="Yes",'Data Tables'!AG30,'Data Tables'!AH30))))))))))),IF($X$21="Impermeable - drained for arable",IF($X$22="650-675",IF($X$23="Yes",'Data Tables'!Q30,'Data Tables'!R30),IF($X$22="675-700",IF($X$23="Yes",'Data Tables'!Q30,'Data Tables'!R30),IF($X$22="700-750",IF($X$23="Yes",'Data Tables'!W30,'Data Tables'!X30),IF($X$22="750-800",IF($X$23="Yes",'Data Tables'!W30,'Data Tables'!X30),IF($X$22="800-850",IF($X$23="Yes",'Data Tables'!W30,'Data Tables'!X30),IF($X$22="850-900",IF($X$23="Yes",'Data Tables'!W30,'Data Tables'!X30),IF($X$22="900-950",IF($X$23="Yes",'Data Tables'!AC30,'Data Tables'!AD30),IF($X$22="950-1000",IF($X$23="Yes",'Data Tables'!AC30,'Data Tables'!AD30),IF($X$22="1000-1100",IF($X$23="Yes",'Data Tables'!AC30,'Data Tables'!AD30),IF($X$22="1100-1200",IF($X$23="Yes",'Data Tables'!AC30,'Data Tables'!AD30),IF($X$23="Yes",'Data Tables'!AI30,'Data Tables'!AJ30))))))))))),IF($X$22="650-675",IF($X$23="Yes",'Data Tables'!S30,'Data Tables'!T30),IF($X$22="675-700",IF($X$23="Yes",'Data Tables'!S30,'Data Tables'!T30),IF($X$22="700-750",IF($X$23="Yes",'Data Tables'!Y30,'Data Tables'!Z30),IF($X$22="750-800",IF($X$23="Yes",'Data Tables'!Y30,'Data Tables'!Z30),IF($X$22="800-850",IF($X$23="Yes",'Data Tables'!Y30,'Data Tables'!Z30),IF($X$22="850-900",IF($X$23="Yes",'Data Tables'!Y30,'Data Tables'!Z30),IF($X$22="900-950",IF($X$23="Yes",'Data Tables'!AE30,'Data Tables'!AF30),IF($X$22="950-1000",IF($X$23="Yes",'Data Tables'!AE30,'Data Tables'!AF30),IF($X$22="1000-1100",IF($X$23="Yes",'Data Tables'!AE30,'Data Tables'!AF30),IF($X$22="1100-1200",IF($X$23="Yes",'Data Tables'!AE30,'Data Tables'!AF30),IF($X$23="Yes",'Data Tables'!AK30,'Data Tables'!AL30))))))))))))),""),""),"")</f>
        <v/>
      </c>
      <c r="AB30" s="223"/>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row>
    <row r="31" spans="2:56" ht="15.95" customHeight="1">
      <c r="B31" s="44"/>
      <c r="C31" s="40"/>
      <c r="D31" s="149"/>
      <c r="E31" s="437" t="str">
        <f>'Stage 2'!F25</f>
        <v>Mixed agriculture</v>
      </c>
      <c r="F31" s="437"/>
      <c r="G31" s="437"/>
      <c r="H31" s="437"/>
      <c r="I31" s="437"/>
      <c r="J31" s="103"/>
      <c r="K31" s="225" t="str">
        <f>IF('Stage 2'!$K25&gt;0,SUM('Stage 2'!$O25,'Stage 2'!$P25,'Stage 2'!$Q25)/'Stage 2'!$K25,"")</f>
        <v/>
      </c>
      <c r="L31" s="310"/>
      <c r="M31" s="152"/>
      <c r="N31" s="160" t="s">
        <v>175</v>
      </c>
      <c r="O31" s="161" t="s">
        <v>298</v>
      </c>
      <c r="P31" s="179"/>
      <c r="Q31" s="47"/>
      <c r="R31" s="47"/>
      <c r="S31" s="437" t="str">
        <f t="shared" si="0"/>
        <v>Mixed agriculture</v>
      </c>
      <c r="T31" s="437"/>
      <c r="U31" s="437"/>
      <c r="V31" s="437"/>
      <c r="W31" s="437"/>
      <c r="X31" s="160" t="s">
        <v>175</v>
      </c>
      <c r="Y31" s="202" t="str">
        <f>IF($X$15="Yes",IF($X31="Yes",IF($X$20="Tone",((IF($X$21="Freely draining",IF($X$22="650-675",IF($X$23="Yes",'Data Tables'!O7,'Data Tables'!P7),IF($X$22="675-700",IF($X$23="Yes",'Data Tables'!O7,'Data Tables'!P7),IF($X$22="700-750",IF($X$23="Yes",'Data Tables'!U7,'Data Tables'!V7),IF($X$22="750-800",IF($X$23="Yes",'Data Tables'!U7,'Data Tables'!V7),IF($X$22="800-850",IF($X$23="Yes",'Data Tables'!U7,'Data Tables'!V7),IF($X$22="850-900",IF($X$23="Yes",'Data Tables'!U7,'Data Tables'!V7),IF($X$22="900-950",IF($X$23="Yes",'Data Tables'!AA7,'Data Tables'!AB7),IF($X$22="950-1000",IF($X$23="Yes",'Data Tables'!AA7,'Data Tables'!AB7),IF($X$22="1000-1100",IF($X$23="Yes",'Data Tables'!AA7,'Data Tables'!AB7),IF($X$22="1100-1200",IF($X$23="Yes",'Data Tables'!AA7,'Data Tables'!AB7),IF($X$23="Yes",'Data Tables'!AG7,'Data Tables'!AH7))))))))))),IF($X$21="Impermeable - drained for arable",IF($X$22="650-675",IF($X$23="Yes",'Data Tables'!Q7,'Data Tables'!R7),IF($X$22="675-700",IF($X$23="Yes",'Data Tables'!Q7,'Data Tables'!R7),IF($X$22="700-750",IF($X$23="Yes",'Data Tables'!W7,'Data Tables'!X7),IF($X$22="750-800",IF($X$23="Yes",'Data Tables'!W7,'Data Tables'!X7),IF($X$22="800-850",IF($X$23="Yes",'Data Tables'!W7,'Data Tables'!X7),IF($X$22="850-900",IF($X$23="Yes",'Data Tables'!W7,'Data Tables'!X7),IF($X$22="900-950",IF($X$23="Yes",'Data Tables'!AC7,'Data Tables'!AD7),IF($X$22="950-1000",IF($X$23="Yes",'Data Tables'!AC7,'Data Tables'!AD7),IF($X$22="1000-1100",IF($X$23="Yes",'Data Tables'!AC7,'Data Tables'!AD7),IF($X$22="1100-1200",IF($X$23="Yes",'Data Tables'!AC7,'Data Tables'!AD7),IF($X$23="Yes",'Data Tables'!AI7,'Data Tables'!AJ7))))))))))),IF($X$22="650-675",IF($X$23="Yes",'Data Tables'!S7,'Data Tables'!T7),IF($X$22="675-700",IF($X$23="Yes",'Data Tables'!S7,'Data Tables'!T7),IF($X$22="700-750",IF($X$23="Yes",'Data Tables'!Y7,'Data Tables'!Z7),IF($X$22="750-800",IF($X$23="Yes",'Data Tables'!Y7,'Data Tables'!Z7),IF($X$22="800-850",IF($X$23="Yes",'Data Tables'!Y7,'Data Tables'!Z7),IF($X$22="850-900",IF($X$23="Yes",'Data Tables'!Y7,'Data Tables'!Z7),IF($X$22="900-950",IF($X$23="Yes",'Data Tables'!AE7,'Data Tables'!AF7),IF($X$22="950-1000",IF($X$23="Yes",'Data Tables'!AE7,'Data Tables'!AF7),IF($X$22="1000-1100",IF($X$23="Yes",'Data Tables'!AE7,'Data Tables'!AF7),IF($X$22="1100-1200",IF($X$23="Yes",'Data Tables'!AE7,'Data Tables'!AF7),IF($X$23="Yes",'Data Tables'!AK7,'Data Tables'!AL7))))))))))))))),""),""),"")</f>
        <v/>
      </c>
      <c r="Z31" s="202" t="str">
        <f>IF($X$15="Yes",IF($X31="Yes",IF($X$20="Parrett",((IF($X$21="Freely draining",IF($X$22="650-675",IF($X$23="Yes",'Data Tables'!O19,'Data Tables'!P19),IF($X$22="675-700",IF($X$23="Yes",'Data Tables'!O19,'Data Tables'!P19),IF($X$22="700-750",IF($X$23="Yes",'Data Tables'!U19,'Data Tables'!V19),IF($X$22="750-800",IF($X$23="Yes",'Data Tables'!U19,'Data Tables'!V19),IF($X$22="800-850",IF($X$23="Yes",'Data Tables'!U19,'Data Tables'!V19),IF($X$22="850-900",IF($X$23="Yes",'Data Tables'!U19,'Data Tables'!V19),IF($X$22="900-950",IF($X$23="Yes",'Data Tables'!AA19,'Data Tables'!AB19),IF($X$22="950-1000",IF($X$23="Yes",'Data Tables'!AA19,'Data Tables'!AB19),IF($X$22="1000-1100",IF($X$23="Yes",'Data Tables'!AA19,'Data Tables'!AB19),IF($X$22="1100-1200",IF($X$23="Yes",'Data Tables'!AA19,'Data Tables'!AB19),IF($X$23="Yes",'Data Tables'!AG19,'Data Tables'!AH19))))))))))),IF($X$21="Impermeable - drained for arable",IF($X$22="650-675",IF($X$23="Yes",'Data Tables'!Q19,'Data Tables'!R19),IF($X$22="675-700",IF($X$23="Yes",'Data Tables'!Q19,'Data Tables'!R19),IF($X$22="700-750",IF($X$23="Yes",'Data Tables'!W19,'Data Tables'!X19),IF($X$22="750-800",IF($X$23="Yes",'Data Tables'!W19,'Data Tables'!X19),IF($X$22="800-850",IF($X$23="Yes",'Data Tables'!W19,'Data Tables'!X19),IF($X$22="850-900",IF($X$23="Yes",'Data Tables'!W19,'Data Tables'!X19),IF($X$22="900-950",IF($X$23="Yes",'Data Tables'!AC19,'Data Tables'!AD19),IF($X$22="950-1000",IF($X$23="Yes",'Data Tables'!AC19,'Data Tables'!AD19),IF($X$22="1000-1100",IF($X$23="Yes",'Data Tables'!AC19,'Data Tables'!AD19),IF($X$22="1100-1200",IF($X$23="Yes",'Data Tables'!AC19,'Data Tables'!AD19),IF($X$23="Yes",'Data Tables'!AI19,'Data Tables'!AJ19))))))))))),IF($X$22="650-675",IF($X$23="Yes",'Data Tables'!S19,'Data Tables'!T19),IF($X$22="675-700",IF($X$23="Yes",'Data Tables'!S19,'Data Tables'!T19),IF($X$22="700-750",IF($X$23="Yes",'Data Tables'!Y19,'Data Tables'!Z19),IF($X$22="750-800",IF($X$23="Yes",'Data Tables'!Y19,'Data Tables'!Z19),IF($X$22="800-850",IF($X$23="Yes",'Data Tables'!Y19,'Data Tables'!Z19),IF($X$22="850-900",IF($X$23="Yes",'Data Tables'!Y19,'Data Tables'!Z19),IF($X$22="900-950",IF($X$23="Yes",'Data Tables'!AE19,'Data Tables'!AF19),IF($X$22="950-1000",IF($X$23="Yes",'Data Tables'!AE19,'Data Tables'!AF19),IF($X$22="1000-1100",IF($X$23="Yes",'Data Tables'!AE19,'Data Tables'!AF19),IF($X$22="1100-1200",IF($X$23="Yes",'Data Tables'!AE19,'Data Tables'!AF19),IF($X$23="Yes",'Data Tables'!AK19,'Data Tables'!AL19))))))))))))))),""),""),"")</f>
        <v/>
      </c>
      <c r="AA31" s="202" t="str">
        <f>IF($X$15="Yes",IF($X31="Yes",IF($X$20="Brue &amp; Axe",IF($X$21="Freely draining",IF($X$22="650-675",IF($X$23="Yes",'Data Tables'!O31,'Data Tables'!P31),IF($X$22="675-700",IF($X$23="Yes",'Data Tables'!O31,'Data Tables'!P31),IF($X$22="700-750",IF($X$23="Yes",'Data Tables'!U31,'Data Tables'!V31),IF($X$22="750-800",IF($X$23="Yes",'Data Tables'!U31,'Data Tables'!V31),IF($X$22="800-850",IF($X$23="Yes",'Data Tables'!U31,'Data Tables'!V31),IF($X$22="850-900",IF($X$23="Yes",'Data Tables'!U31,'Data Tables'!V31),IF($X$22="900-950",IF($X$23="Yes",'Data Tables'!AA31,'Data Tables'!AB31),IF($X$22="950-1000",IF($X$23="Yes",'Data Tables'!AA31,'Data Tables'!AB31),IF($X$22="1000-1100",IF($X$23="Yes",'Data Tables'!AA31,'Data Tables'!AB31),IF($X$22="1100-1200",IF($X$23="Yes",'Data Tables'!AA31,'Data Tables'!AB31),IF($X$23="Yes",'Data Tables'!AG31,'Data Tables'!AH31))))))))))),IF($X$21="Impermeable - drained for arable",IF($X$22="650-675",IF($X$23="Yes",'Data Tables'!Q31,'Data Tables'!R31),IF($X$22="675-700",IF($X$23="Yes",'Data Tables'!Q31,'Data Tables'!R31),IF($X$22="700-750",IF($X$23="Yes",'Data Tables'!W31,'Data Tables'!X31),IF($X$22="750-800",IF($X$23="Yes",'Data Tables'!W31,'Data Tables'!X31),IF($X$22="800-850",IF($X$23="Yes",'Data Tables'!W31,'Data Tables'!X31),IF($X$22="850-900",IF($X$23="Yes",'Data Tables'!W31,'Data Tables'!X31),IF($X$22="900-950",IF($X$23="Yes",'Data Tables'!AC31,'Data Tables'!AD31),IF($X$22="950-1000",IF($X$23="Yes",'Data Tables'!AC31,'Data Tables'!AD31),IF($X$22="1000-1100",IF($X$23="Yes",'Data Tables'!AC31,'Data Tables'!AD31),IF($X$22="1100-1200",IF($X$23="Yes",'Data Tables'!AC31,'Data Tables'!AD31),IF($X$23="Yes",'Data Tables'!AI31,'Data Tables'!AJ31))))))))))),IF($X$22="650-675",IF($X$23="Yes",'Data Tables'!S31,'Data Tables'!T31),IF($X$22="675-700",IF($X$23="Yes",'Data Tables'!S31,'Data Tables'!T31),IF($X$22="700-750",IF($X$23="Yes",'Data Tables'!Y31,'Data Tables'!Z31),IF($X$22="750-800",IF($X$23="Yes",'Data Tables'!Y31,'Data Tables'!Z31),IF($X$22="800-850",IF($X$23="Yes",'Data Tables'!Y31,'Data Tables'!Z31),IF($X$22="850-900",IF($X$23="Yes",'Data Tables'!Y31,'Data Tables'!Z31),IF($X$22="900-950",IF($X$23="Yes",'Data Tables'!AE31,'Data Tables'!AF31),IF($X$22="950-1000",IF($X$23="Yes",'Data Tables'!AE31,'Data Tables'!AF31),IF($X$22="1000-1100",IF($X$23="Yes",'Data Tables'!AE31,'Data Tables'!AF31),IF($X$22="1100-1200",IF($X$23="Yes",'Data Tables'!AE31,'Data Tables'!AF31),IF($X$23="Yes",'Data Tables'!AK31,'Data Tables'!AL31))))))))))))),""),""),"")</f>
        <v/>
      </c>
      <c r="AB31" s="223"/>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row>
    <row r="32" spans="2:56" ht="15.95" customHeight="1">
      <c r="B32" s="44"/>
      <c r="C32" s="40"/>
      <c r="D32" s="149"/>
      <c r="E32" s="437" t="str">
        <f>'Stage 2'!F26</f>
        <v>Poultry</v>
      </c>
      <c r="F32" s="437"/>
      <c r="G32" s="437"/>
      <c r="H32" s="437"/>
      <c r="I32" s="437"/>
      <c r="J32" s="103"/>
      <c r="K32" s="225" t="str">
        <f>IF('Stage 2'!$K26&gt;0,SUM('Stage 2'!$O26,'Stage 2'!$P26,'Stage 2'!$Q26)/'Stage 2'!$K26,"")</f>
        <v/>
      </c>
      <c r="L32" s="310"/>
      <c r="M32" s="152"/>
      <c r="N32" s="160" t="s">
        <v>175</v>
      </c>
      <c r="O32" s="161" t="s">
        <v>298</v>
      </c>
      <c r="P32" s="179"/>
      <c r="Q32" s="47"/>
      <c r="R32" s="47"/>
      <c r="S32" s="437" t="str">
        <f t="shared" si="0"/>
        <v>Poultry</v>
      </c>
      <c r="T32" s="437"/>
      <c r="U32" s="437"/>
      <c r="V32" s="437"/>
      <c r="W32" s="437"/>
      <c r="X32" s="160" t="s">
        <v>175</v>
      </c>
      <c r="Y32" s="202" t="str">
        <f>IF($X$15="Yes",IF($X32="Yes",IF($X$20="Tone",((IF($X$21="Freely draining",IF($X$22="650-675",IF($X$23="Yes",'Data Tables'!O8,'Data Tables'!P8),IF($X$22="675-700",IF($X$23="Yes",'Data Tables'!O8,'Data Tables'!P8),IF($X$22="700-750",IF($X$23="Yes",'Data Tables'!U8,'Data Tables'!V8),IF($X$22="750-800",IF($X$23="Yes",'Data Tables'!U8,'Data Tables'!V8),IF($X$22="800-850",IF($X$23="Yes",'Data Tables'!U8,'Data Tables'!V8),IF($X$22="850-900",IF($X$23="Yes",'Data Tables'!U8,'Data Tables'!V8),IF($X$22="900-950",IF($X$23="Yes",'Data Tables'!AA8,'Data Tables'!AB8),IF($X$22="950-1000",IF($X$23="Yes",'Data Tables'!AA8,'Data Tables'!AB8),IF($X$22="1000-1100",IF($X$23="Yes",'Data Tables'!AA8,'Data Tables'!AB8),IF($X$22="1100-1200",IF($X$23="Yes",'Data Tables'!AA8,'Data Tables'!AB8),IF($X$23="Yes",'Data Tables'!AG8,'Data Tables'!AH8))))))))))),IF($X$21="Impermeable - drained for arable",IF($X$22="650-675",IF($X$23="Yes",'Data Tables'!Q8,'Data Tables'!R8),IF($X$22="675-700",IF($X$23="Yes",'Data Tables'!Q8,'Data Tables'!R8),IF($X$22="700-750",IF($X$23="Yes",'Data Tables'!W8,'Data Tables'!X8),IF($X$22="750-800",IF($X$23="Yes",'Data Tables'!W8,'Data Tables'!X8),IF($X$22="800-850",IF($X$23="Yes",'Data Tables'!W8,'Data Tables'!X8),IF($X$22="850-900",IF($X$23="Yes",'Data Tables'!W8,'Data Tables'!X8),IF($X$22="900-950",IF($X$23="Yes",'Data Tables'!AC8,'Data Tables'!AD8),IF($X$22="950-1000",IF($X$23="Yes",'Data Tables'!AC8,'Data Tables'!AD8),IF($X$22="1000-1100",IF($X$23="Yes",'Data Tables'!AC8,'Data Tables'!AD8),IF($X$22="1100-1200",IF($X$23="Yes",'Data Tables'!AC8,'Data Tables'!AD8),IF($X$23="Yes",'Data Tables'!AI8,'Data Tables'!AJ8))))))))))),IF($X$22="650-675",IF($X$23="Yes",'Data Tables'!S8,'Data Tables'!T8),IF($X$22="675-700",IF($X$23="Yes",'Data Tables'!S8,'Data Tables'!T8),IF($X$22="700-750",IF($X$23="Yes",'Data Tables'!Y8,'Data Tables'!Z8),IF($X$22="750-800",IF($X$23="Yes",'Data Tables'!Y8,'Data Tables'!Z8),IF($X$22="800-850",IF($X$23="Yes",'Data Tables'!Y8,'Data Tables'!Z8),IF($X$22="850-900",IF($X$23="Yes",'Data Tables'!Y8,'Data Tables'!Z8),IF($X$22="900-950",IF($X$23="Yes",'Data Tables'!AE8,'Data Tables'!AF8),IF($X$22="950-1000",IF($X$23="Yes",'Data Tables'!AE8,'Data Tables'!AF8),IF($X$22="1000-1100",IF($X$23="Yes",'Data Tables'!AE8,'Data Tables'!AF8),IF($X$22="1100-1200",IF($X$23="Yes",'Data Tables'!AE8,'Data Tables'!AF8),IF($X$23="Yes",'Data Tables'!AK8,'Data Tables'!AL8))))))))))))))),""),""),"")</f>
        <v/>
      </c>
      <c r="Z32" s="202" t="str">
        <f>IF($X$15="Yes",IF($X32="Yes",IF($X$20="Parrett",((IF($X$21="Freely draining",IF($X$22="650-675",IF($X$23="Yes",'Data Tables'!O20,'Data Tables'!P20),IF($X$22="675-700",IF($X$23="Yes",'Data Tables'!O20,'Data Tables'!P20),IF($X$22="700-750",IF($X$23="Yes",'Data Tables'!U20,'Data Tables'!V20),IF($X$22="750-800",IF($X$23="Yes",'Data Tables'!U20,'Data Tables'!V20),IF($X$22="800-850",IF($X$23="Yes",'Data Tables'!U20,'Data Tables'!V20),IF($X$22="850-900",IF($X$23="Yes",'Data Tables'!U20,'Data Tables'!V20),IF($X$22="900-950",IF($X$23="Yes",'Data Tables'!AA20,'Data Tables'!AB20),IF($X$22="950-1000",IF($X$23="Yes",'Data Tables'!AA20,'Data Tables'!AB20),IF($X$22="1000-1100",IF($X$23="Yes",'Data Tables'!AA20,'Data Tables'!AB20),IF($X$22="1100-1200",IF($X$23="Yes",'Data Tables'!AA20,'Data Tables'!AB20),IF($X$23="Yes",'Data Tables'!AG20,'Data Tables'!AH20))))))))))),IF($X$21="Impermeable - drained for arable",IF($X$22="650-675",IF($X$23="Yes",'Data Tables'!Q20,'Data Tables'!R20),IF($X$22="675-700",IF($X$23="Yes",'Data Tables'!Q20,'Data Tables'!R20),IF($X$22="700-750",IF($X$23="Yes",'Data Tables'!W20,'Data Tables'!X20),IF($X$22="750-800",IF($X$23="Yes",'Data Tables'!W20,'Data Tables'!X20),IF($X$22="800-850",IF($X$23="Yes",'Data Tables'!W20,'Data Tables'!X20),IF($X$22="850-900",IF($X$23="Yes",'Data Tables'!W20,'Data Tables'!X20),IF($X$22="900-950",IF($X$23="Yes",'Data Tables'!AC20,'Data Tables'!AD20),IF($X$22="950-1000",IF($X$23="Yes",'Data Tables'!AC20,'Data Tables'!AD20),IF($X$22="1000-1100",IF($X$23="Yes",'Data Tables'!AC20,'Data Tables'!AD20),IF($X$22="1100-1200",IF($X$23="Yes",'Data Tables'!AC20,'Data Tables'!AD20),IF($X$23="Yes",'Data Tables'!AI20,'Data Tables'!AJ20))))))))))),IF($X$22="650-675",IF($X$23="Yes",'Data Tables'!S20,'Data Tables'!T20),IF($X$22="675-700",IF($X$23="Yes",'Data Tables'!S20,'Data Tables'!T20),IF($X$22="700-750",IF($X$23="Yes",'Data Tables'!Y20,'Data Tables'!Z20),IF($X$22="750-800",IF($X$23="Yes",'Data Tables'!Y20,'Data Tables'!Z20),IF($X$22="800-850",IF($X$23="Yes",'Data Tables'!Y20,'Data Tables'!Z20),IF($X$22="850-900",IF($X$23="Yes",'Data Tables'!Y20,'Data Tables'!Z20),IF($X$22="900-950",IF($X$23="Yes",'Data Tables'!AE20,'Data Tables'!AF20),IF($X$22="950-1000",IF($X$23="Yes",'Data Tables'!AE20,'Data Tables'!AF20),IF($X$22="1000-1100",IF($X$23="Yes",'Data Tables'!AE20,'Data Tables'!AF20),IF($X$22="1100-1200",IF($X$23="Yes",'Data Tables'!AE20,'Data Tables'!AF20),IF($X$23="Yes",'Data Tables'!AK20,'Data Tables'!AL20))))))))))))))),""),""),"")</f>
        <v/>
      </c>
      <c r="AA32" s="202" t="str">
        <f>IF($X$15="Yes",IF($X32="Yes",IF($X$20="Brue &amp; Axe",IF($X$21="Freely draining",IF($X$22="650-675",IF($X$23="Yes",'Data Tables'!O32,'Data Tables'!P32),IF($X$22="675-700",IF($X$23="Yes",'Data Tables'!O32,'Data Tables'!P32),IF($X$22="700-750",IF($X$23="Yes",'Data Tables'!U32,'Data Tables'!V32),IF($X$22="750-800",IF($X$23="Yes",'Data Tables'!U32,'Data Tables'!V32),IF($X$22="800-850",IF($X$23="Yes",'Data Tables'!U32,'Data Tables'!V32),IF($X$22="850-900",IF($X$23="Yes",'Data Tables'!U32,'Data Tables'!V32),IF($X$22="900-950",IF($X$23="Yes",'Data Tables'!AA32,'Data Tables'!AB32),IF($X$22="950-1000",IF($X$23="Yes",'Data Tables'!AA32,'Data Tables'!AB32),IF($X$22="1000-1100",IF($X$23="Yes",'Data Tables'!AA32,'Data Tables'!AB32),IF($X$22="1100-1200",IF($X$23="Yes",'Data Tables'!AA32,'Data Tables'!AB32),IF($X$23="Yes",'Data Tables'!AG32,'Data Tables'!AH32))))))))))),IF($X$21="Impermeable - drained for arable",IF($X$22="650-675",IF($X$23="Yes",'Data Tables'!Q32,'Data Tables'!R32),IF($X$22="675-700",IF($X$23="Yes",'Data Tables'!Q32,'Data Tables'!R32),IF($X$22="700-750",IF($X$23="Yes",'Data Tables'!W32,'Data Tables'!X32),IF($X$22="750-800",IF($X$23="Yes",'Data Tables'!W32,'Data Tables'!X32),IF($X$22="800-850",IF($X$23="Yes",'Data Tables'!W32,'Data Tables'!X32),IF($X$22="850-900",IF($X$23="Yes",'Data Tables'!W32,'Data Tables'!X32),IF($X$22="900-950",IF($X$23="Yes",'Data Tables'!AC32,'Data Tables'!AD32),IF($X$22="950-1000",IF($X$23="Yes",'Data Tables'!AC32,'Data Tables'!AD32),IF($X$22="1000-1100",IF($X$23="Yes",'Data Tables'!AC32,'Data Tables'!AD32),IF($X$22="1100-1200",IF($X$23="Yes",'Data Tables'!AC32,'Data Tables'!AD32),IF($X$23="Yes",'Data Tables'!AI32,'Data Tables'!AJ32))))))))))),IF($X$22="650-675",IF($X$23="Yes",'Data Tables'!S32,'Data Tables'!T32),IF($X$22="675-700",IF($X$23="Yes",'Data Tables'!S32,'Data Tables'!T32),IF($X$22="700-750",IF($X$23="Yes",'Data Tables'!Y32,'Data Tables'!Z32),IF($X$22="750-800",IF($X$23="Yes",'Data Tables'!Y32,'Data Tables'!Z32),IF($X$22="800-850",IF($X$23="Yes",'Data Tables'!Y32,'Data Tables'!Z32),IF($X$22="850-900",IF($X$23="Yes",'Data Tables'!Y32,'Data Tables'!Z32),IF($X$22="900-950",IF($X$23="Yes",'Data Tables'!AE32,'Data Tables'!AF32),IF($X$22="950-1000",IF($X$23="Yes",'Data Tables'!AE32,'Data Tables'!AF32),IF($X$22="1000-1100",IF($X$23="Yes",'Data Tables'!AE32,'Data Tables'!AF32),IF($X$22="1100-1200",IF($X$23="Yes",'Data Tables'!AE32,'Data Tables'!AF32),IF($X$23="Yes",'Data Tables'!AK32,'Data Tables'!AL32))))))))))))),""),""),"")</f>
        <v/>
      </c>
      <c r="AB32" s="223"/>
      <c r="AE32" s="82"/>
      <c r="AF32" s="82"/>
      <c r="AG32" s="82"/>
      <c r="AH32" s="82"/>
      <c r="AI32" s="82"/>
      <c r="AJ32" s="82"/>
      <c r="AK32" s="82"/>
      <c r="AL32" s="82"/>
      <c r="AM32" s="82"/>
      <c r="AN32" s="82"/>
      <c r="AO32" s="82"/>
      <c r="AP32" s="82"/>
      <c r="AQ32" s="82"/>
      <c r="AS32" s="82"/>
      <c r="AT32" s="82"/>
      <c r="AU32" s="82"/>
      <c r="AV32" s="82"/>
      <c r="AW32" s="82"/>
      <c r="AX32" s="82"/>
      <c r="AY32" s="82"/>
      <c r="AZ32" s="82"/>
    </row>
    <row r="33" spans="2:52" ht="15.95" customHeight="1">
      <c r="B33" s="44"/>
      <c r="C33" s="40"/>
      <c r="D33" s="149"/>
      <c r="E33" s="437" t="str">
        <f>'Stage 2'!F27</f>
        <v>Pigs</v>
      </c>
      <c r="F33" s="437"/>
      <c r="G33" s="437"/>
      <c r="H33" s="437"/>
      <c r="I33" s="437"/>
      <c r="J33" s="103"/>
      <c r="K33" s="225" t="str">
        <f>IF('Stage 2'!$K27&gt;0,SUM('Stage 2'!$O27,'Stage 2'!$P27,'Stage 2'!$Q27)/'Stage 2'!$K27,"")</f>
        <v/>
      </c>
      <c r="L33" s="310"/>
      <c r="M33" s="152"/>
      <c r="N33" s="160" t="s">
        <v>175</v>
      </c>
      <c r="O33" s="161" t="s">
        <v>298</v>
      </c>
      <c r="P33" s="179"/>
      <c r="Q33" s="47"/>
      <c r="R33" s="47"/>
      <c r="S33" s="437" t="str">
        <f t="shared" si="0"/>
        <v>Pigs</v>
      </c>
      <c r="T33" s="437"/>
      <c r="U33" s="437"/>
      <c r="V33" s="437"/>
      <c r="W33" s="437"/>
      <c r="X33" s="160" t="s">
        <v>175</v>
      </c>
      <c r="Y33" s="202" t="str">
        <f>IF($X$15="Yes",IF($X33="Yes",IF($X$20="Tone",((IF($X$21="Freely draining",IF($X$22="650-675",IF($X$23="Yes",'Data Tables'!O9,'Data Tables'!P9),IF($X$22="675-700",IF($X$23="Yes",'Data Tables'!O9,'Data Tables'!P9),IF($X$22="700-750",IF($X$23="Yes",'Data Tables'!U9,'Data Tables'!V9),IF($X$22="750-800",IF($X$23="Yes",'Data Tables'!U9,'Data Tables'!V9),IF($X$22="800-850",IF($X$23="Yes",'Data Tables'!U9,'Data Tables'!V9),IF($X$22="850-900",IF($X$23="Yes",'Data Tables'!U9,'Data Tables'!V9),IF($X$22="900-950",IF($X$23="Yes",'Data Tables'!AA9,'Data Tables'!AB9),IF($X$22="950-1000",IF($X$23="Yes",'Data Tables'!AA9,'Data Tables'!AB9),IF($X$22="1000-1100",IF($X$23="Yes",'Data Tables'!AA9,'Data Tables'!AB9),IF($X$22="1100-1200",IF($X$23="Yes",'Data Tables'!AA9,'Data Tables'!AB9),IF($X$23="Yes",'Data Tables'!AG9,'Data Tables'!AH9))))))))))),IF($X$21="Impermeable - drained for arable",IF($X$22="650-675",IF($X$23="Yes",'Data Tables'!Q9,'Data Tables'!R9),IF($X$22="675-700",IF($X$23="Yes",'Data Tables'!Q9,'Data Tables'!R9),IF($X$22="700-750",IF($X$23="Yes",'Data Tables'!W9,'Data Tables'!X9),IF($X$22="750-800",IF($X$23="Yes",'Data Tables'!W9,'Data Tables'!X9),IF($X$22="800-850",IF($X$23="Yes",'Data Tables'!W9,'Data Tables'!X9),IF($X$22="850-900",IF($X$23="Yes",'Data Tables'!W9,'Data Tables'!X9),IF($X$22="900-950",IF($X$23="Yes",'Data Tables'!AC9,'Data Tables'!AD9),IF($X$22="950-1000",IF($X$23="Yes",'Data Tables'!AC9,'Data Tables'!AD9),IF($X$22="1000-1100",IF($X$23="Yes",'Data Tables'!AC9,'Data Tables'!AD9),IF($X$22="1100-1200",IF($X$23="Yes",'Data Tables'!AC9,'Data Tables'!AD9),IF($X$23="Yes",'Data Tables'!AI9,'Data Tables'!AJ9))))))))))),IF($X$22="650-675",IF($X$23="Yes",'Data Tables'!S9,'Data Tables'!T9),IF($X$22="675-700",IF($X$23="Yes",'Data Tables'!S9,'Data Tables'!T9),IF($X$22="700-750",IF($X$23="Yes",'Data Tables'!Y9,'Data Tables'!Z9),IF($X$22="750-800",IF($X$23="Yes",'Data Tables'!Y9,'Data Tables'!Z9),IF($X$22="800-850",IF($X$23="Yes",'Data Tables'!Y9,'Data Tables'!Z9),IF($X$22="850-900",IF($X$23="Yes",'Data Tables'!Y9,'Data Tables'!Z9),IF($X$22="900-950",IF($X$23="Yes",'Data Tables'!AE9,'Data Tables'!AF9),IF($X$22="950-1000",IF($X$23="Yes",'Data Tables'!AE9,'Data Tables'!AF9),IF($X$22="1000-1100",IF($X$23="Yes",'Data Tables'!AE9,'Data Tables'!AF9),IF($X$22="1100-1200",IF($X$23="Yes",'Data Tables'!AE9,'Data Tables'!AF9),IF($X$23="Yes",'Data Tables'!AK9,'Data Tables'!AL9))))))))))))))),""),""),"")</f>
        <v/>
      </c>
      <c r="Z33" s="202" t="str">
        <f>IF($X$15="Yes",IF($X33="Yes",IF($X$20="Parrett",((IF($X$21="Freely draining",IF($X$22="650-675",IF($X$23="Yes",'Data Tables'!O21,'Data Tables'!P21),IF($X$22="675-700",IF($X$23="Yes",'Data Tables'!O21,'Data Tables'!P21),IF($X$22="700-750",IF($X$23="Yes",'Data Tables'!U21,'Data Tables'!V21),IF($X$22="750-800",IF($X$23="Yes",'Data Tables'!U21,'Data Tables'!V21),IF($X$22="800-850",IF($X$23="Yes",'Data Tables'!U21,'Data Tables'!V21),IF($X$22="850-900",IF($X$23="Yes",'Data Tables'!U21,'Data Tables'!V21),IF($X$22="900-950",IF($X$23="Yes",'Data Tables'!AA21,'Data Tables'!AB21),IF($X$22="950-1000",IF($X$23="Yes",'Data Tables'!AA21,'Data Tables'!AB21),IF($X$22="1000-1100",IF($X$23="Yes",'Data Tables'!AA21,'Data Tables'!AB21),IF($X$22="1100-1200",IF($X$23="Yes",'Data Tables'!AA21,'Data Tables'!AB21),IF($X$23="Yes",'Data Tables'!AG21,'Data Tables'!AH21))))))))))),IF($X$21="Impermeable - drained for arable",IF($X$22="650-675",IF($X$23="Yes",'Data Tables'!Q21,'Data Tables'!R21),IF($X$22="675-700",IF($X$23="Yes",'Data Tables'!Q21,'Data Tables'!R21),IF($X$22="700-750",IF($X$23="Yes",'Data Tables'!W21,'Data Tables'!X21),IF($X$22="750-800",IF($X$23="Yes",'Data Tables'!W21,'Data Tables'!X21),IF($X$22="800-850",IF($X$23="Yes",'Data Tables'!W21,'Data Tables'!X21),IF($X$22="850-900",IF($X$23="Yes",'Data Tables'!W21,'Data Tables'!X21),IF($X$22="900-950",IF($X$23="Yes",'Data Tables'!AC21,'Data Tables'!AD21),IF($X$22="950-1000",IF($X$23="Yes",'Data Tables'!AC21,'Data Tables'!AD21),IF($X$22="1000-1100",IF($X$23="Yes",'Data Tables'!AC21,'Data Tables'!AD21),IF($X$22="1100-1200",IF($X$23="Yes",'Data Tables'!AC21,'Data Tables'!AD21),IF($X$23="Yes",'Data Tables'!AI21,'Data Tables'!AJ21))))))))))),IF($X$22="650-675",IF($X$23="Yes",'Data Tables'!S21,'Data Tables'!T21),IF($X$22="675-700",IF($X$23="Yes",'Data Tables'!S21,'Data Tables'!T21),IF($X$22="700-750",IF($X$23="Yes",'Data Tables'!Y21,'Data Tables'!Z21),IF($X$22="750-800",IF($X$23="Yes",'Data Tables'!Y21,'Data Tables'!Z21),IF($X$22="800-850",IF($X$23="Yes",'Data Tables'!Y21,'Data Tables'!Z21),IF($X$22="850-900",IF($X$23="Yes",'Data Tables'!Y21,'Data Tables'!Z21),IF($X$22="900-950",IF($X$23="Yes",'Data Tables'!AE21,'Data Tables'!AF21),IF($X$22="950-1000",IF($X$23="Yes",'Data Tables'!AE21,'Data Tables'!AF21),IF($X$22="1000-1100",IF($X$23="Yes",'Data Tables'!AE21,'Data Tables'!AF21),IF($X$22="1100-1200",IF($X$23="Yes",'Data Tables'!AE21,'Data Tables'!AF21),IF($X$23="Yes",'Data Tables'!AK21,'Data Tables'!AL21))))))))))))))),""),""),"")</f>
        <v/>
      </c>
      <c r="AA33" s="202" t="str">
        <f>IF($X$15="Yes",IF($X33="Yes",IF($X$20="Brue &amp; Axe",IF($X$21="Freely draining",IF($X$22="650-675",IF($X$23="Yes",'Data Tables'!O33,'Data Tables'!P33),IF($X$22="675-700",IF($X$23="Yes",'Data Tables'!O33,'Data Tables'!P33),IF($X$22="700-750",IF($X$23="Yes",'Data Tables'!U33,'Data Tables'!V33),IF($X$22="750-800",IF($X$23="Yes",'Data Tables'!U33,'Data Tables'!V33),IF($X$22="800-850",IF($X$23="Yes",'Data Tables'!U33,'Data Tables'!V33),IF($X$22="850-900",IF($X$23="Yes",'Data Tables'!U33,'Data Tables'!V33),IF($X$22="900-950",IF($X$23="Yes",'Data Tables'!AA33,'Data Tables'!AB33),IF($X$22="950-1000",IF($X$23="Yes",'Data Tables'!AA33,'Data Tables'!AB33),IF($X$22="1000-1100",IF($X$23="Yes",'Data Tables'!AA33,'Data Tables'!AB33),IF($X$22="1100-1200",IF($X$23="Yes",'Data Tables'!AA33,'Data Tables'!AB33),IF($X$23="Yes",'Data Tables'!AG33,'Data Tables'!AH33))))))))))),IF($X$21="Impermeable - drained for arable",IF($X$22="650-675",IF($X$23="Yes",'Data Tables'!Q33,'Data Tables'!R33),IF($X$22="675-700",IF($X$23="Yes",'Data Tables'!Q33,'Data Tables'!R33),IF($X$22="700-750",IF($X$23="Yes",'Data Tables'!W33,'Data Tables'!X33),IF($X$22="750-800",IF($X$23="Yes",'Data Tables'!W33,'Data Tables'!X33),IF($X$22="800-850",IF($X$23="Yes",'Data Tables'!W33,'Data Tables'!X33),IF($X$22="850-900",IF($X$23="Yes",'Data Tables'!W33,'Data Tables'!X33),IF($X$22="900-950",IF($X$23="Yes",'Data Tables'!AC33,'Data Tables'!AD33),IF($X$22="950-1000",IF($X$23="Yes",'Data Tables'!AC33,'Data Tables'!AD33),IF($X$22="1000-1100",IF($X$23="Yes",'Data Tables'!AC33,'Data Tables'!AD33),IF($X$22="1100-1200",IF($X$23="Yes",'Data Tables'!AC33,'Data Tables'!AD33),IF($X$23="Yes",'Data Tables'!AI33,'Data Tables'!AJ33))))))))))),IF($X$22="650-675",IF($X$23="Yes",'Data Tables'!S33,'Data Tables'!T33),IF($X$22="675-700",IF($X$23="Yes",'Data Tables'!S33,'Data Tables'!T33),IF($X$22="700-750",IF($X$23="Yes",'Data Tables'!Y33,'Data Tables'!Z33),IF($X$22="750-800",IF($X$23="Yes",'Data Tables'!Y33,'Data Tables'!Z33),IF($X$22="800-850",IF($X$23="Yes",'Data Tables'!Y33,'Data Tables'!Z33),IF($X$22="850-900",IF($X$23="Yes",'Data Tables'!Y33,'Data Tables'!Z33),IF($X$22="900-950",IF($X$23="Yes",'Data Tables'!AE33,'Data Tables'!AF33),IF($X$22="950-1000",IF($X$23="Yes",'Data Tables'!AE33,'Data Tables'!AF33),IF($X$22="1000-1100",IF($X$23="Yes",'Data Tables'!AE33,'Data Tables'!AF33),IF($X$22="1100-1200",IF($X$23="Yes",'Data Tables'!AE33,'Data Tables'!AF33),IF($X$23="Yes",'Data Tables'!AK33,'Data Tables'!AL33))))))))))))),""),""),"")</f>
        <v/>
      </c>
      <c r="AB33" s="223"/>
      <c r="AE33" s="82"/>
      <c r="AF33" s="82"/>
      <c r="AG33" s="82"/>
      <c r="AH33" s="82"/>
      <c r="AI33" s="82"/>
      <c r="AJ33" s="82"/>
      <c r="AK33" s="82"/>
      <c r="AL33" s="82"/>
      <c r="AM33" s="82"/>
      <c r="AN33" s="82"/>
      <c r="AO33" s="82"/>
      <c r="AP33" s="82"/>
      <c r="AQ33" s="82"/>
      <c r="AS33" s="82"/>
      <c r="AT33" s="82"/>
      <c r="AU33" s="82"/>
      <c r="AV33" s="82"/>
      <c r="AW33" s="82"/>
      <c r="AX33" s="82"/>
      <c r="AY33" s="82"/>
      <c r="AZ33" s="82"/>
    </row>
    <row r="34" spans="2:52" ht="15.95" customHeight="1">
      <c r="B34" s="44"/>
      <c r="C34" s="40"/>
      <c r="D34" s="149"/>
      <c r="E34" s="437" t="str">
        <f>'Stage 2'!F28</f>
        <v>Horticulture</v>
      </c>
      <c r="F34" s="437"/>
      <c r="G34" s="437"/>
      <c r="H34" s="437"/>
      <c r="I34" s="437"/>
      <c r="J34" s="103"/>
      <c r="K34" s="225" t="str">
        <f>IF('Stage 2'!$K28&gt;0,SUM('Stage 2'!$O28,'Stage 2'!$P28,'Stage 2'!$Q28)/'Stage 2'!$K28,"")</f>
        <v/>
      </c>
      <c r="L34" s="310"/>
      <c r="M34" s="152"/>
      <c r="N34" s="160" t="s">
        <v>175</v>
      </c>
      <c r="O34" s="161" t="s">
        <v>298</v>
      </c>
      <c r="P34" s="179"/>
      <c r="Q34" s="47"/>
      <c r="R34" s="47"/>
      <c r="S34" s="437" t="str">
        <f t="shared" si="0"/>
        <v>Horticulture</v>
      </c>
      <c r="T34" s="437"/>
      <c r="U34" s="437"/>
      <c r="V34" s="437"/>
      <c r="W34" s="437"/>
      <c r="X34" s="160" t="s">
        <v>175</v>
      </c>
      <c r="Y34" s="202" t="str">
        <f>IF($X$15="Yes",IF($X34="Yes",IF($X$20="Tone",((IF($X$21="Freely draining",IF($X$22="650-675",IF($X$23="Yes",'Data Tables'!O10,'Data Tables'!P10),IF($X$22="675-700",IF($X$23="Yes",'Data Tables'!O10,'Data Tables'!P10),IF($X$22="700-750",IF($X$23="Yes",'Data Tables'!U10,'Data Tables'!V10),IF($X$22="750-800",IF($X$23="Yes",'Data Tables'!U10,'Data Tables'!V10),IF($X$22="800-850",IF($X$23="Yes",'Data Tables'!U10,'Data Tables'!V10),IF($X$22="850-900",IF($X$23="Yes",'Data Tables'!U10,'Data Tables'!V10),IF($X$22="900-950",IF($X$23="Yes",'Data Tables'!AA10,'Data Tables'!AB10),IF($X$22="950-1000",IF($X$23="Yes",'Data Tables'!AA10,'Data Tables'!AB10),IF($X$22="1000-1100",IF($X$23="Yes",'Data Tables'!AA10,'Data Tables'!AB10),IF($X$22="1100-1200",IF($X$23="Yes",'Data Tables'!AA10,'Data Tables'!AB10),IF($X$23="Yes",'Data Tables'!AG10,'Data Tables'!AH10))))))))))),IF($X$21="Impermeable - drained for arable",IF($X$22="650-675",IF($X$23="Yes",'Data Tables'!Q10,'Data Tables'!R10),IF($X$22="675-700",IF($X$23="Yes",'Data Tables'!Q10,'Data Tables'!R10),IF($X$22="700-750",IF($X$23="Yes",'Data Tables'!W10,'Data Tables'!X10),IF($X$22="750-800",IF($X$23="Yes",'Data Tables'!W10,'Data Tables'!X10),IF($X$22="800-850",IF($X$23="Yes",'Data Tables'!W10,'Data Tables'!X10),IF($X$22="850-900",IF($X$23="Yes",'Data Tables'!W10,'Data Tables'!X10),IF($X$22="900-950",IF($X$23="Yes",'Data Tables'!AC10,'Data Tables'!AD10),IF($X$22="950-1000",IF($X$23="Yes",'Data Tables'!AC10,'Data Tables'!AD10),IF($X$22="1000-1100",IF($X$23="Yes",'Data Tables'!AC10,'Data Tables'!AD10),IF($X$22="1100-1200",IF($X$23="Yes",'Data Tables'!AC10,'Data Tables'!AD10),IF($X$23="Yes",'Data Tables'!AI10,'Data Tables'!AJ10))))))))))),IF($X$22="650-675",IF($X$23="Yes",'Data Tables'!S10,'Data Tables'!T10),IF($X$22="675-700",IF($X$23="Yes",'Data Tables'!S10,'Data Tables'!T10),IF($X$22="700-750",IF($X$23="Yes",'Data Tables'!Y10,'Data Tables'!Z10),IF($X$22="750-800",IF($X$23="Yes",'Data Tables'!Y10,'Data Tables'!Z10),IF($X$22="800-850",IF($X$23="Yes",'Data Tables'!Y10,'Data Tables'!Z10),IF($X$22="850-900",IF($X$23="Yes",'Data Tables'!Y10,'Data Tables'!Z10),IF($X$22="900-950",IF($X$23="Yes",'Data Tables'!AE10,'Data Tables'!AF10),IF($X$22="950-1000",IF($X$23="Yes",'Data Tables'!AE10,'Data Tables'!AF10),IF($X$22="1000-1100",IF($X$23="Yes",'Data Tables'!AE10,'Data Tables'!AF10),IF($X$22="1100-1200",IF($X$23="Yes",'Data Tables'!AE10,'Data Tables'!AF10),IF($X$23="Yes",'Data Tables'!AK10,'Data Tables'!AL10))))))))))))))),""),""),"")</f>
        <v/>
      </c>
      <c r="Z34" s="202" t="str">
        <f>IF($X$15="Yes",IF($X34="Yes",IF($X$20="Parrett",((IF($X$21="Freely draining",IF($X$22="650-675",IF($X$23="Yes",'Data Tables'!O22,'Data Tables'!P22),IF($X$22="675-700",IF($X$23="Yes",'Data Tables'!O22,'Data Tables'!P22),IF($X$22="700-750",IF($X$23="Yes",'Data Tables'!U22,'Data Tables'!V22),IF($X$22="750-800",IF($X$23="Yes",'Data Tables'!U22,'Data Tables'!V22),IF($X$22="800-850",IF($X$23="Yes",'Data Tables'!U22,'Data Tables'!V22),IF($X$22="850-900",IF($X$23="Yes",'Data Tables'!U22,'Data Tables'!V22),IF($X$22="900-950",IF($X$23="Yes",'Data Tables'!AA22,'Data Tables'!AB22),IF($X$22="950-1000",IF($X$23="Yes",'Data Tables'!AA22,'Data Tables'!AB22),IF($X$22="1000-1100",IF($X$23="Yes",'Data Tables'!AA22,'Data Tables'!AB22),IF($X$22="1100-1200",IF($X$23="Yes",'Data Tables'!AA22,'Data Tables'!AB22),IF($X$23="Yes",'Data Tables'!AG22,'Data Tables'!AH22))))))))))),IF($X$21="Impermeable - drained for arable",IF($X$22="650-675",IF($X$23="Yes",'Data Tables'!Q22,'Data Tables'!R22),IF($X$22="675-700",IF($X$23="Yes",'Data Tables'!Q22,'Data Tables'!R22),IF($X$22="700-750",IF($X$23="Yes",'Data Tables'!W22,'Data Tables'!X22),IF($X$22="750-800",IF($X$23="Yes",'Data Tables'!W22,'Data Tables'!X22),IF($X$22="800-850",IF($X$23="Yes",'Data Tables'!W22,'Data Tables'!X22),IF($X$22="850-900",IF($X$23="Yes",'Data Tables'!W22,'Data Tables'!X22),IF($X$22="900-950",IF($X$23="Yes",'Data Tables'!AC22,'Data Tables'!AD22),IF($X$22="950-1000",IF($X$23="Yes",'Data Tables'!AC22,'Data Tables'!AD22),IF($X$22="1000-1100",IF($X$23="Yes",'Data Tables'!AC22,'Data Tables'!AD22),IF($X$22="1100-1200",IF($X$23="Yes",'Data Tables'!AC22,'Data Tables'!AD22),IF($X$23="Yes",'Data Tables'!AI22,'Data Tables'!AJ22))))))))))),IF($X$22="650-675",IF($X$23="Yes",'Data Tables'!S22,'Data Tables'!T22),IF($X$22="675-700",IF($X$23="Yes",'Data Tables'!S22,'Data Tables'!T22),IF($X$22="700-750",IF($X$23="Yes",'Data Tables'!Y22,'Data Tables'!Z22),IF($X$22="750-800",IF($X$23="Yes",'Data Tables'!Y22,'Data Tables'!Z22),IF($X$22="800-850",IF($X$23="Yes",'Data Tables'!Y22,'Data Tables'!Z22),IF($X$22="850-900",IF($X$23="Yes",'Data Tables'!Y22,'Data Tables'!Z22),IF($X$22="900-950",IF($X$23="Yes",'Data Tables'!AE22,'Data Tables'!AF22),IF($X$22="950-1000",IF($X$23="Yes",'Data Tables'!AE22,'Data Tables'!AF22),IF($X$22="1000-1100",IF($X$23="Yes",'Data Tables'!AE22,'Data Tables'!AF22),IF($X$22="1100-1200",IF($X$23="Yes",'Data Tables'!AE22,'Data Tables'!AF22),IF($X$23="Yes",'Data Tables'!AK22,'Data Tables'!AL22))))))))))))))),""),""),"")</f>
        <v/>
      </c>
      <c r="AA34" s="202" t="str">
        <f>IF($X$15="Yes",IF($X34="Yes",IF($X$20="Brue &amp; Axe",IF($X$21="Freely draining",IF($X$22="650-675",IF($X$23="Yes",'Data Tables'!O34,'Data Tables'!P34),IF($X$22="675-700",IF($X$23="Yes",'Data Tables'!O34,'Data Tables'!P34),IF($X$22="700-750",IF($X$23="Yes",'Data Tables'!U34,'Data Tables'!V34),IF($X$22="750-800",IF($X$23="Yes",'Data Tables'!U34,'Data Tables'!V34),IF($X$22="800-850",IF($X$23="Yes",'Data Tables'!U34,'Data Tables'!V34),IF($X$22="850-900",IF($X$23="Yes",'Data Tables'!U34,'Data Tables'!V34),IF($X$22="900-950",IF($X$23="Yes",'Data Tables'!AA34,'Data Tables'!AB34),IF($X$22="950-1000",IF($X$23="Yes",'Data Tables'!AA34,'Data Tables'!AB34),IF($X$22="1000-1100",IF($X$23="Yes",'Data Tables'!AA34,'Data Tables'!AB34),IF($X$22="1100-1200",IF($X$23="Yes",'Data Tables'!AA34,'Data Tables'!AB34),IF($X$23="Yes",'Data Tables'!AG34,'Data Tables'!AH34))))))))))),IF($X$21="Impermeable - drained for arable",IF($X$22="650-675",IF($X$23="Yes",'Data Tables'!Q34,'Data Tables'!R34),IF($X$22="675-700",IF($X$23="Yes",'Data Tables'!Q34,'Data Tables'!R34),IF($X$22="700-750",IF($X$23="Yes",'Data Tables'!W34,'Data Tables'!X34),IF($X$22="750-800",IF($X$23="Yes",'Data Tables'!W34,'Data Tables'!X34),IF($X$22="800-850",IF($X$23="Yes",'Data Tables'!W34,'Data Tables'!X34),IF($X$22="850-900",IF($X$23="Yes",'Data Tables'!W34,'Data Tables'!X34),IF($X$22="900-950",IF($X$23="Yes",'Data Tables'!AC34,'Data Tables'!AD34),IF($X$22="950-1000",IF($X$23="Yes",'Data Tables'!AC34,'Data Tables'!AD34),IF($X$22="1000-1100",IF($X$23="Yes",'Data Tables'!AC34,'Data Tables'!AD34),IF($X$22="1100-1200",IF($X$23="Yes",'Data Tables'!AC34,'Data Tables'!AD34),IF($X$23="Yes",'Data Tables'!AI34,'Data Tables'!AJ34))))))))))),IF($X$22="650-675",IF($X$23="Yes",'Data Tables'!S34,'Data Tables'!T34),IF($X$22="675-700",IF($X$23="Yes",'Data Tables'!S34,'Data Tables'!T34),IF($X$22="700-750",IF($X$23="Yes",'Data Tables'!Y34,'Data Tables'!Z34),IF($X$22="750-800",IF($X$23="Yes",'Data Tables'!Y34,'Data Tables'!Z34),IF($X$22="800-850",IF($X$23="Yes",'Data Tables'!Y34,'Data Tables'!Z34),IF($X$22="850-900",IF($X$23="Yes",'Data Tables'!Y34,'Data Tables'!Z34),IF($X$22="900-950",IF($X$23="Yes",'Data Tables'!AE34,'Data Tables'!AF34),IF($X$22="950-1000",IF($X$23="Yes",'Data Tables'!AE34,'Data Tables'!AF34),IF($X$22="1000-1100",IF($X$23="Yes",'Data Tables'!AE34,'Data Tables'!AF34),IF($X$22="1100-1200",IF($X$23="Yes",'Data Tables'!AE34,'Data Tables'!AF34),IF($X$23="Yes",'Data Tables'!AK34,'Data Tables'!AL34))))))))))))),""),""),"")</f>
        <v/>
      </c>
      <c r="AB34" s="223"/>
      <c r="AE34" s="82"/>
      <c r="AF34" s="82"/>
      <c r="AG34" s="82"/>
      <c r="AH34" s="82"/>
      <c r="AI34" s="82"/>
      <c r="AJ34" s="82"/>
      <c r="AK34" s="82"/>
      <c r="AL34" s="82"/>
      <c r="AM34" s="82"/>
      <c r="AN34" s="82"/>
      <c r="AO34" s="82"/>
      <c r="AP34" s="82"/>
      <c r="AQ34" s="82"/>
      <c r="AS34" s="82"/>
      <c r="AT34" s="82"/>
      <c r="AU34" s="82"/>
      <c r="AV34" s="82"/>
      <c r="AW34" s="82"/>
      <c r="AX34" s="82"/>
      <c r="AY34" s="82"/>
      <c r="AZ34" s="82"/>
    </row>
    <row r="35" spans="2:52" ht="15.95" customHeight="1">
      <c r="B35" s="44"/>
      <c r="C35" s="40"/>
      <c r="D35" s="149"/>
      <c r="E35" s="437" t="str">
        <f>'Stage 2'!F29</f>
        <v>Cereals</v>
      </c>
      <c r="F35" s="437"/>
      <c r="G35" s="437"/>
      <c r="H35" s="437"/>
      <c r="I35" s="437"/>
      <c r="J35" s="103"/>
      <c r="K35" s="225" t="str">
        <f>IF('Stage 2'!$K29&gt;0,SUM('Stage 2'!$O29,'Stage 2'!$P29,'Stage 2'!$Q29)/'Stage 2'!$K29,"")</f>
        <v/>
      </c>
      <c r="L35" s="310"/>
      <c r="M35" s="152"/>
      <c r="N35" s="160" t="s">
        <v>175</v>
      </c>
      <c r="O35" s="161" t="s">
        <v>298</v>
      </c>
      <c r="P35" s="179"/>
      <c r="Q35" s="47"/>
      <c r="R35" s="47"/>
      <c r="S35" s="437" t="str">
        <f t="shared" si="0"/>
        <v>Cereals</v>
      </c>
      <c r="T35" s="437"/>
      <c r="U35" s="437"/>
      <c r="V35" s="437"/>
      <c r="W35" s="437"/>
      <c r="X35" s="160" t="s">
        <v>175</v>
      </c>
      <c r="Y35" s="202" t="str">
        <f>IF($X$15="Yes",IF($X35="Yes",IF($X$20="Tone",((IF($X$21="Freely draining",IF($X$22="650-675",IF($X$23="Yes",'Data Tables'!O11,'Data Tables'!P11),IF($X$22="675-700",IF($X$23="Yes",'Data Tables'!O11,'Data Tables'!P11),IF($X$22="700-750",IF($X$23="Yes",'Data Tables'!U11,'Data Tables'!V11),IF($X$22="750-800",IF($X$23="Yes",'Data Tables'!U11,'Data Tables'!V11),IF($X$22="800-850",IF($X$23="Yes",'Data Tables'!U11,'Data Tables'!V11),IF($X$22="850-900",IF($X$23="Yes",'Data Tables'!U11,'Data Tables'!V11),IF($X$22="900-950",IF($X$23="Yes",'Data Tables'!AA11,'Data Tables'!AB11),IF($X$22="950-1000",IF($X$23="Yes",'Data Tables'!AA11,'Data Tables'!AB11),IF($X$22="1000-1100",IF($X$23="Yes",'Data Tables'!AA11,'Data Tables'!AB11),IF($X$22="1100-1200",IF($X$23="Yes",'Data Tables'!AA11,'Data Tables'!AB11),IF($X$23="Yes",'Data Tables'!AG11,'Data Tables'!AH11))))))))))),IF($X$21="Impermeable - drained for arable",IF($X$22="650-675",IF($X$23="Yes",'Data Tables'!Q11,'Data Tables'!R11),IF($X$22="675-700",IF($X$23="Yes",'Data Tables'!Q11,'Data Tables'!R11),IF($X$22="700-750",IF($X$23="Yes",'Data Tables'!W11,'Data Tables'!X11),IF($X$22="750-800",IF($X$23="Yes",'Data Tables'!W11,'Data Tables'!X11),IF($X$22="800-850",IF($X$23="Yes",'Data Tables'!W11,'Data Tables'!X11),IF($X$22="850-900",IF($X$23="Yes",'Data Tables'!W11,'Data Tables'!X11),IF($X$22="900-950",IF($X$23="Yes",'Data Tables'!AC11,'Data Tables'!AD11),IF($X$22="950-1000",IF($X$23="Yes",'Data Tables'!AC11,'Data Tables'!AD11),IF($X$22="1000-1100",IF($X$23="Yes",'Data Tables'!AC11,'Data Tables'!AD11),IF($X$22="1100-1200",IF($X$23="Yes",'Data Tables'!AC11,'Data Tables'!AD11),IF($X$23="Yes",'Data Tables'!AI11,'Data Tables'!AJ11))))))))))),IF($X$22="650-675",IF($X$23="Yes",'Data Tables'!S11,'Data Tables'!T11),IF($X$22="675-700",IF($X$23="Yes",'Data Tables'!S11,'Data Tables'!T11),IF($X$22="700-750",IF($X$23="Yes",'Data Tables'!Y11,'Data Tables'!Z11),IF($X$22="750-800",IF($X$23="Yes",'Data Tables'!Y11,'Data Tables'!Z11),IF($X$22="800-850",IF($X$23="Yes",'Data Tables'!Y11,'Data Tables'!Z11),IF($X$22="850-900",IF($X$23="Yes",'Data Tables'!Y11,'Data Tables'!Z11),IF($X$22="900-950",IF($X$23="Yes",'Data Tables'!AE11,'Data Tables'!AF11),IF($X$22="950-1000",IF($X$23="Yes",'Data Tables'!AE11,'Data Tables'!AF11),IF($X$22="1000-1100",IF($X$23="Yes",'Data Tables'!AE11,'Data Tables'!AF11),IF($X$22="1100-1200",IF($X$23="Yes",'Data Tables'!AE11,'Data Tables'!AF11),IF($X$23="Yes",'Data Tables'!AK11,'Data Tables'!AL11))))))))))))))),""),""),"")</f>
        <v/>
      </c>
      <c r="Z35" s="202" t="str">
        <f>IF($X$15="Yes",IF($X35="Yes",IF($X$20="Parrett",((IF($X$21="Freely draining",IF($X$22="650-675",IF($X$23="Yes",'Data Tables'!O23,'Data Tables'!P23),IF($X$22="675-700",IF($X$23="Yes",'Data Tables'!O23,'Data Tables'!P23),IF($X$22="700-750",IF($X$23="Yes",'Data Tables'!U23,'Data Tables'!V23),IF($X$22="750-800",IF($X$23="Yes",'Data Tables'!U23,'Data Tables'!V23),IF($X$22="800-850",IF($X$23="Yes",'Data Tables'!U23,'Data Tables'!V23),IF($X$22="850-900",IF($X$23="Yes",'Data Tables'!U23,'Data Tables'!V23),IF($X$22="900-950",IF($X$23="Yes",'Data Tables'!AA23,'Data Tables'!AB23),IF($X$22="950-1000",IF($X$23="Yes",'Data Tables'!AA23,'Data Tables'!AB23),IF($X$22="1000-1100",IF($X$23="Yes",'Data Tables'!AA23,'Data Tables'!AB23),IF($X$22="1100-1200",IF($X$23="Yes",'Data Tables'!AA23,'Data Tables'!AB23),IF($X$23="Yes",'Data Tables'!AG23,'Data Tables'!AH23))))))))))),IF($X$21="Impermeable - drained for arable",IF($X$22="650-675",IF($X$23="Yes",'Data Tables'!Q23,'Data Tables'!R23),IF($X$22="675-700",IF($X$23="Yes",'Data Tables'!Q23,'Data Tables'!R23),IF($X$22="700-750",IF($X$23="Yes",'Data Tables'!W23,'Data Tables'!X23),IF($X$22="750-800",IF($X$23="Yes",'Data Tables'!W23,'Data Tables'!X23),IF($X$22="800-850",IF($X$23="Yes",'Data Tables'!W23,'Data Tables'!X23),IF($X$22="850-900",IF($X$23="Yes",'Data Tables'!W23,'Data Tables'!X23),IF($X$22="900-950",IF($X$23="Yes",'Data Tables'!AC23,'Data Tables'!AD23),IF($X$22="950-1000",IF($X$23="Yes",'Data Tables'!AC23,'Data Tables'!AD23),IF($X$22="1000-1100",IF($X$23="Yes",'Data Tables'!AC23,'Data Tables'!AD23),IF($X$22="1100-1200",IF($X$23="Yes",'Data Tables'!AC23,'Data Tables'!AD23),IF($X$23="Yes",'Data Tables'!AI23,'Data Tables'!AJ23))))))))))),IF($X$22="650-675",IF($X$23="Yes",'Data Tables'!S23,'Data Tables'!T23),IF($X$22="675-700",IF($X$23="Yes",'Data Tables'!S23,'Data Tables'!T23),IF($X$22="700-750",IF($X$23="Yes",'Data Tables'!Y23,'Data Tables'!Z23),IF($X$22="750-800",IF($X$23="Yes",'Data Tables'!Y23,'Data Tables'!Z23),IF($X$22="800-850",IF($X$23="Yes",'Data Tables'!Y23,'Data Tables'!Z23),IF($X$22="850-900",IF($X$23="Yes",'Data Tables'!Y23,'Data Tables'!Z23),IF($X$22="900-950",IF($X$23="Yes",'Data Tables'!AE23,'Data Tables'!AF23),IF($X$22="950-1000",IF($X$23="Yes",'Data Tables'!AE23,'Data Tables'!AF23),IF($X$22="1000-1100",IF($X$23="Yes",'Data Tables'!AE23,'Data Tables'!AF23),IF($X$22="1100-1200",IF($X$23="Yes",'Data Tables'!AE23,'Data Tables'!AF23),IF($X$23="Yes",'Data Tables'!AK23,'Data Tables'!AL23))))))))))))))),""),""),"")</f>
        <v/>
      </c>
      <c r="AA35" s="202" t="str">
        <f>IF($X$15="Yes",IF($X35="Yes",IF($X$20="Brue &amp; Axe",IF($X$21="Freely draining",IF($X$22="650-675",IF($X$23="Yes",'Data Tables'!O35,'Data Tables'!P35),IF($X$22="675-700",IF($X$23="Yes",'Data Tables'!O35,'Data Tables'!P35),IF($X$22="700-750",IF($X$23="Yes",'Data Tables'!U35,'Data Tables'!V35),IF($X$22="750-800",IF($X$23="Yes",'Data Tables'!U35,'Data Tables'!V35),IF($X$22="800-850",IF($X$23="Yes",'Data Tables'!U35,'Data Tables'!V35),IF($X$22="850-900",IF($X$23="Yes",'Data Tables'!U35,'Data Tables'!V35),IF($X$22="900-950",IF($X$23="Yes",'Data Tables'!AA35,'Data Tables'!AB35),IF($X$22="950-1000",IF($X$23="Yes",'Data Tables'!AA35,'Data Tables'!AB35),IF($X$22="1000-1100",IF($X$23="Yes",'Data Tables'!AA35,'Data Tables'!AB35),IF($X$22="1100-1200",IF($X$23="Yes",'Data Tables'!AA35,'Data Tables'!AB35),IF($X$23="Yes",'Data Tables'!AG35,'Data Tables'!AH35))))))))))),IF($X$21="Impermeable - drained for arable",IF($X$22="650-675",IF($X$23="Yes",'Data Tables'!Q35,'Data Tables'!R35),IF($X$22="675-700",IF($X$23="Yes",'Data Tables'!Q35,'Data Tables'!R35),IF($X$22="700-750",IF($X$23="Yes",'Data Tables'!W35,'Data Tables'!X35),IF($X$22="750-800",IF($X$23="Yes",'Data Tables'!W35,'Data Tables'!X35),IF($X$22="800-850",IF($X$23="Yes",'Data Tables'!W35,'Data Tables'!X35),IF($X$22="850-900",IF($X$23="Yes",'Data Tables'!W35,'Data Tables'!X35),IF($X$22="900-950",IF($X$23="Yes",'Data Tables'!AC35,'Data Tables'!AD35),IF($X$22="950-1000",IF($X$23="Yes",'Data Tables'!AC35,'Data Tables'!AD35),IF($X$22="1000-1100",IF($X$23="Yes",'Data Tables'!AC35,'Data Tables'!AD35),IF($X$22="1100-1200",IF($X$23="Yes",'Data Tables'!AC35,'Data Tables'!AD35),IF($X$23="Yes",'Data Tables'!AI35,'Data Tables'!AJ35))))))))))),IF($X$22="650-675",IF($X$23="Yes",'Data Tables'!S35,'Data Tables'!T35),IF($X$22="675-700",IF($X$23="Yes",'Data Tables'!S35,'Data Tables'!T35),IF($X$22="700-750",IF($X$23="Yes",'Data Tables'!Y35,'Data Tables'!Z35),IF($X$22="750-800",IF($X$23="Yes",'Data Tables'!Y35,'Data Tables'!Z35),IF($X$22="800-850",IF($X$23="Yes",'Data Tables'!Y35,'Data Tables'!Z35),IF($X$22="850-900",IF($X$23="Yes",'Data Tables'!Y35,'Data Tables'!Z35),IF($X$22="900-950",IF($X$23="Yes",'Data Tables'!AE35,'Data Tables'!AF35),IF($X$22="950-1000",IF($X$23="Yes",'Data Tables'!AE35,'Data Tables'!AF35),IF($X$22="1000-1100",IF($X$23="Yes",'Data Tables'!AE35,'Data Tables'!AF35),IF($X$22="1100-1200",IF($X$23="Yes",'Data Tables'!AE35,'Data Tables'!AF35),IF($X$23="Yes",'Data Tables'!AK35,'Data Tables'!AL35))))))))))))),""),""),"")</f>
        <v/>
      </c>
      <c r="AB35" s="223"/>
      <c r="AE35" s="82"/>
      <c r="AF35" s="82"/>
      <c r="AG35" s="82"/>
      <c r="AH35" s="82"/>
      <c r="AI35" s="82"/>
      <c r="AJ35" s="82"/>
      <c r="AK35" s="82"/>
      <c r="AL35" s="82"/>
      <c r="AM35" s="82"/>
      <c r="AN35" s="82"/>
      <c r="AO35" s="82"/>
      <c r="AP35" s="82"/>
      <c r="AQ35" s="82"/>
      <c r="AS35" s="82"/>
      <c r="AT35" s="82"/>
      <c r="AU35" s="82"/>
      <c r="AV35" s="82"/>
      <c r="AW35" s="82"/>
      <c r="AX35" s="82"/>
      <c r="AY35" s="82"/>
      <c r="AZ35" s="82"/>
    </row>
    <row r="36" spans="2:52" ht="15.95" customHeight="1">
      <c r="B36" s="44"/>
      <c r="C36" s="40"/>
      <c r="D36" s="149"/>
      <c r="E36" s="437" t="str">
        <f>'Stage 2'!F30</f>
        <v>General arable</v>
      </c>
      <c r="F36" s="437"/>
      <c r="G36" s="437"/>
      <c r="H36" s="437"/>
      <c r="I36" s="437"/>
      <c r="J36" s="103"/>
      <c r="K36" s="225" t="str">
        <f>IF('Stage 2'!$K30&gt;0,SUM('Stage 2'!$O30,'Stage 2'!$P30,'Stage 2'!$Q30)/'Stage 2'!$K30,"")</f>
        <v/>
      </c>
      <c r="L36" s="310"/>
      <c r="M36" s="152"/>
      <c r="N36" s="160" t="s">
        <v>175</v>
      </c>
      <c r="O36" s="161" t="s">
        <v>298</v>
      </c>
      <c r="P36" s="179"/>
      <c r="Q36" s="47"/>
      <c r="R36" s="47"/>
      <c r="S36" s="437" t="str">
        <f t="shared" si="0"/>
        <v>General arable</v>
      </c>
      <c r="T36" s="437"/>
      <c r="U36" s="437"/>
      <c r="V36" s="437"/>
      <c r="W36" s="437"/>
      <c r="X36" s="160" t="s">
        <v>175</v>
      </c>
      <c r="Y36" s="202" t="str">
        <f>IF($X$15="Yes",IF($X36="Yes",IF($X$20="Tone",((IF($X$21="Freely draining",IF($X$22="650-675",IF($X$23="Yes",'Data Tables'!O12,'Data Tables'!P12),IF($X$22="675-700",IF($X$23="Yes",'Data Tables'!O12,'Data Tables'!P12),IF($X$22="700-750",IF($X$23="Yes",'Data Tables'!U12,'Data Tables'!V12),IF($X$22="750-800",IF($X$23="Yes",'Data Tables'!U12,'Data Tables'!V12),IF($X$22="800-850",IF($X$23="Yes",'Data Tables'!U12,'Data Tables'!V12),IF($X$22="850-900",IF($X$23="Yes",'Data Tables'!U12,'Data Tables'!V12),IF($X$22="900-950",IF($X$23="Yes",'Data Tables'!AA12,'Data Tables'!AB12),IF($X$22="950-1000",IF($X$23="Yes",'Data Tables'!AA12,'Data Tables'!AB12),IF($X$22="1000-1100",IF($X$23="Yes",'Data Tables'!AA12,'Data Tables'!AB12),IF($X$22="1100-1200",IF($X$23="Yes",'Data Tables'!AA12,'Data Tables'!AB12),IF($X$23="Yes",'Data Tables'!AG12,'Data Tables'!AH12))))))))))),IF($X$21="Impermeable - drained for arable",IF($X$22="650-675",IF($X$23="Yes",'Data Tables'!Q12,'Data Tables'!R12),IF($X$22="675-700",IF($X$23="Yes",'Data Tables'!Q12,'Data Tables'!R12),IF($X$22="700-750",IF($X$23="Yes",'Data Tables'!W12,'Data Tables'!X12),IF($X$22="750-800",IF($X$23="Yes",'Data Tables'!W12,'Data Tables'!X12),IF($X$22="800-850",IF($X$23="Yes",'Data Tables'!W12,'Data Tables'!X12),IF($X$22="850-900",IF($X$23="Yes",'Data Tables'!W12,'Data Tables'!X12),IF($X$22="900-950",IF($X$23="Yes",'Data Tables'!AC12,'Data Tables'!AD12),IF($X$22="950-1000",IF($X$23="Yes",'Data Tables'!AC12,'Data Tables'!AD12),IF($X$22="1000-1100",IF($X$23="Yes",'Data Tables'!AC12,'Data Tables'!AD12),IF($X$22="1100-1200",IF($X$23="Yes",'Data Tables'!AC12,'Data Tables'!AD12),IF($X$23="Yes",'Data Tables'!AI12,'Data Tables'!AJ12))))))))))),IF($X$22="650-675",IF($X$23="Yes",'Data Tables'!S12,'Data Tables'!T12),IF($X$22="675-700",IF($X$23="Yes",'Data Tables'!S12,'Data Tables'!T12),IF($X$22="700-750",IF($X$23="Yes",'Data Tables'!Y12,'Data Tables'!Z12),IF($X$22="750-800",IF($X$23="Yes",'Data Tables'!Y12,'Data Tables'!Z12),IF($X$22="800-850",IF($X$23="Yes",'Data Tables'!Y12,'Data Tables'!Z12),IF($X$22="850-900",IF($X$23="Yes",'Data Tables'!Y12,'Data Tables'!Z12),IF($X$22="900-950",IF($X$23="Yes",'Data Tables'!AE12,'Data Tables'!AF12),IF($X$22="950-1000",IF($X$23="Yes",'Data Tables'!AE12,'Data Tables'!AF12),IF($X$22="1000-1100",IF($X$23="Yes",'Data Tables'!AE12,'Data Tables'!AF12),IF($X$22="1100-1200",IF($X$23="Yes",'Data Tables'!AE12,'Data Tables'!AF12),IF($X$23="Yes",'Data Tables'!AK12,'Data Tables'!AL12))))))))))))))),""),""),"")</f>
        <v/>
      </c>
      <c r="Z36" s="202" t="str">
        <f>IF($X$15="Yes",IF($X36="Yes",IF($X$20="Parrett",((IF($X$21="Freely draining",IF($X$22="650-675",IF($X$23="Yes",'Data Tables'!O24,'Data Tables'!P24),IF($X$22="675-700",IF($X$23="Yes",'Data Tables'!O24,'Data Tables'!P24),IF($X$22="700-750",IF($X$23="Yes",'Data Tables'!U24,'Data Tables'!V24),IF($X$22="750-800",IF($X$23="Yes",'Data Tables'!U24,'Data Tables'!V24),IF($X$22="800-850",IF($X$23="Yes",'Data Tables'!U24,'Data Tables'!V24),IF($X$22="850-900",IF($X$23="Yes",'Data Tables'!U24,'Data Tables'!V24),IF($X$22="900-950",IF($X$23="Yes",'Data Tables'!AA24,'Data Tables'!AB24),IF($X$22="950-1000",IF($X$23="Yes",'Data Tables'!AA24,'Data Tables'!AB24),IF($X$22="1000-1100",IF($X$23="Yes",'Data Tables'!AA24,'Data Tables'!AB24),IF($X$22="1100-1200",IF($X$23="Yes",'Data Tables'!AA24,'Data Tables'!AB24),IF($X$23="Yes",'Data Tables'!AG24,'Data Tables'!AH24))))))))))),IF($X$21="Impermeable - drained for arable",IF($X$22="650-675",IF($X$23="Yes",'Data Tables'!Q24,'Data Tables'!R24),IF($X$22="675-700",IF($X$23="Yes",'Data Tables'!Q24,'Data Tables'!R24),IF($X$22="700-750",IF($X$23="Yes",'Data Tables'!W24,'Data Tables'!X24),IF($X$22="750-800",IF($X$23="Yes",'Data Tables'!W24,'Data Tables'!X24),IF($X$22="800-850",IF($X$23="Yes",'Data Tables'!W24,'Data Tables'!X24),IF($X$22="850-900",IF($X$23="Yes",'Data Tables'!W24,'Data Tables'!X24),IF($X$22="900-950",IF($X$23="Yes",'Data Tables'!AC24,'Data Tables'!AD24),IF($X$22="950-1000",IF($X$23="Yes",'Data Tables'!AC24,'Data Tables'!AD24),IF($X$22="1000-1100",IF($X$23="Yes",'Data Tables'!AC24,'Data Tables'!AD24),IF($X$22="1100-1200",IF($X$23="Yes",'Data Tables'!AC24,'Data Tables'!AD24),IF($X$23="Yes",'Data Tables'!AI24,'Data Tables'!AJ24))))))))))),IF($X$22="650-675",IF($X$23="Yes",'Data Tables'!S24,'Data Tables'!T24),IF($X$22="675-700",IF($X$23="Yes",'Data Tables'!S24,'Data Tables'!T24),IF($X$22="700-750",IF($X$23="Yes",'Data Tables'!Y24,'Data Tables'!Z24),IF($X$22="750-800",IF($X$23="Yes",'Data Tables'!Y24,'Data Tables'!Z24),IF($X$22="800-850",IF($X$23="Yes",'Data Tables'!Y24,'Data Tables'!Z24),IF($X$22="850-900",IF($X$23="Yes",'Data Tables'!Y24,'Data Tables'!Z24),IF($X$22="900-950",IF($X$23="Yes",'Data Tables'!AE24,'Data Tables'!AF24),IF($X$22="950-1000",IF($X$23="Yes",'Data Tables'!AE24,'Data Tables'!AF24),IF($X$22="1000-1100",IF($X$23="Yes",'Data Tables'!AE24,'Data Tables'!AF24),IF($X$22="1100-1200",IF($X$23="Yes",'Data Tables'!AE24,'Data Tables'!AF24),IF($X$23="Yes",'Data Tables'!AK24,'Data Tables'!AL24))))))))))))))),""),""),"")</f>
        <v/>
      </c>
      <c r="AA36" s="202" t="str">
        <f>IF($X$15="Yes",IF($X36="Yes",IF($X$20="Brue &amp; Axe",IF($X$21="Freely draining",IF($X$22="650-675",IF($X$23="Yes",'Data Tables'!O36,'Data Tables'!P36),IF($X$22="675-700",IF($X$23="Yes",'Data Tables'!O36,'Data Tables'!P36),IF($X$22="700-750",IF($X$23="Yes",'Data Tables'!U36,'Data Tables'!V36),IF($X$22="750-800",IF($X$23="Yes",'Data Tables'!U36,'Data Tables'!V36),IF($X$22="800-850",IF($X$23="Yes",'Data Tables'!U36,'Data Tables'!V36),IF($X$22="850-900",IF($X$23="Yes",'Data Tables'!U36,'Data Tables'!V36),IF($X$22="900-950",IF($X$23="Yes",'Data Tables'!AA36,'Data Tables'!AB36),IF($X$22="950-1000",IF($X$23="Yes",'Data Tables'!AA36,'Data Tables'!AB36),IF($X$22="1000-1100",IF($X$23="Yes",'Data Tables'!AA36,'Data Tables'!AB36),IF($X$22="1100-1200",IF($X$23="Yes",'Data Tables'!AA36,'Data Tables'!AB36),IF($X$23="Yes",'Data Tables'!AG36,'Data Tables'!AH36))))))))))),IF($X$21="Impermeable - drained for arable",IF($X$22="650-675",IF($X$23="Yes",'Data Tables'!Q36,'Data Tables'!R36),IF($X$22="675-700",IF($X$23="Yes",'Data Tables'!Q36,'Data Tables'!R36),IF($X$22="700-750",IF($X$23="Yes",'Data Tables'!W36,'Data Tables'!X36),IF($X$22="750-800",IF($X$23="Yes",'Data Tables'!W36,'Data Tables'!X36),IF($X$22="800-850",IF($X$23="Yes",'Data Tables'!W36,'Data Tables'!X36),IF($X$22="850-900",IF($X$23="Yes",'Data Tables'!W36,'Data Tables'!X36),IF($X$22="900-950",IF($X$23="Yes",'Data Tables'!AC36,'Data Tables'!AD36),IF($X$22="950-1000",IF($X$23="Yes",'Data Tables'!AC36,'Data Tables'!AD36),IF($X$22="1000-1100",IF($X$23="Yes",'Data Tables'!AC36,'Data Tables'!AD36),IF($X$22="1100-1200",IF($X$23="Yes",'Data Tables'!AC36,'Data Tables'!AD36),IF($X$23="Yes",'Data Tables'!AI36,'Data Tables'!AJ36))))))))))),IF($X$22="650-675",IF($X$23="Yes",'Data Tables'!S36,'Data Tables'!T36),IF($X$22="675-700",IF($X$23="Yes",'Data Tables'!S36,'Data Tables'!T36),IF($X$22="700-750",IF($X$23="Yes",'Data Tables'!Y36,'Data Tables'!Z36),IF($X$22="750-800",IF($X$23="Yes",'Data Tables'!Y36,'Data Tables'!Z36),IF($X$22="800-850",IF($X$23="Yes",'Data Tables'!Y36,'Data Tables'!Z36),IF($X$22="850-900",IF($X$23="Yes",'Data Tables'!Y36,'Data Tables'!Z36),IF($X$22="900-950",IF($X$23="Yes",'Data Tables'!AE36,'Data Tables'!AF36),IF($X$22="950-1000",IF($X$23="Yes",'Data Tables'!AE36,'Data Tables'!AF36),IF($X$22="1000-1100",IF($X$23="Yes",'Data Tables'!AE36,'Data Tables'!AF36),IF($X$22="1100-1200",IF($X$23="Yes",'Data Tables'!AE36,'Data Tables'!AF36),IF($X$23="Yes",'Data Tables'!AK36,'Data Tables'!AL36))))))))))))),""),""),"")</f>
        <v/>
      </c>
      <c r="AB36" s="223"/>
      <c r="AE36" s="82"/>
      <c r="AF36" s="82"/>
      <c r="AG36" s="82"/>
      <c r="AH36" s="82"/>
      <c r="AI36" s="82"/>
      <c r="AJ36" s="82"/>
      <c r="AK36" s="82"/>
      <c r="AL36" s="82"/>
      <c r="AM36" s="82"/>
      <c r="AN36" s="82"/>
      <c r="AO36" s="82"/>
      <c r="AP36" s="82"/>
      <c r="AQ36" s="82"/>
      <c r="AS36" s="82"/>
      <c r="AT36" s="82"/>
      <c r="AU36" s="82"/>
      <c r="AV36" s="82"/>
      <c r="AW36" s="82"/>
      <c r="AX36" s="82"/>
      <c r="AY36" s="82"/>
      <c r="AZ36" s="82"/>
    </row>
    <row r="37" spans="2:52" ht="15.95" customHeight="1">
      <c r="B37" s="44"/>
      <c r="C37" s="40"/>
      <c r="D37" s="149"/>
      <c r="E37" s="437" t="str">
        <f>'Stage 2'!F31</f>
        <v>Allotments and city farms</v>
      </c>
      <c r="F37" s="437"/>
      <c r="G37" s="437"/>
      <c r="H37" s="437"/>
      <c r="I37" s="437"/>
      <c r="J37" s="103"/>
      <c r="K37" s="225" t="str">
        <f>IF('Stage 2'!$K31&gt;0,SUM('Stage 2'!$O31,'Stage 2'!$P31,'Stage 2'!$Q31)/'Stage 2'!$K31,"")</f>
        <v/>
      </c>
      <c r="L37" s="310"/>
      <c r="M37" s="188"/>
      <c r="N37" s="160" t="s">
        <v>175</v>
      </c>
      <c r="O37" s="161" t="s">
        <v>298</v>
      </c>
      <c r="P37" s="179"/>
      <c r="Q37" s="47"/>
      <c r="R37" s="47"/>
      <c r="S37" s="437" t="str">
        <f t="shared" si="0"/>
        <v>Allotments and city farms</v>
      </c>
      <c r="T37" s="437"/>
      <c r="U37" s="437"/>
      <c r="V37" s="437"/>
      <c r="W37" s="437"/>
      <c r="X37" s="160" t="s">
        <v>175</v>
      </c>
      <c r="Y37" s="202" t="str">
        <f>IF($X$15="Yes",IF($X37="Yes",IF($X$20="Tone",((IF($X$21="Freely draining",IF($X$22="650-675",IF($X$23="Yes",'Data Tables'!O13,'Data Tables'!P13),IF($X$22="675-700",IF($X$23="Yes",'Data Tables'!O13,'Data Tables'!P13),IF($X$22="700-750",IF($X$23="Yes",'Data Tables'!U13,'Data Tables'!V13),IF($X$22="750-800",IF($X$23="Yes",'Data Tables'!U13,'Data Tables'!V13),IF($X$22="800-850",IF($X$23="Yes",'Data Tables'!U13,'Data Tables'!V13),IF($X$22="850-900",IF($X$23="Yes",'Data Tables'!U13,'Data Tables'!V13),IF($X$22="900-950",IF($X$23="Yes",'Data Tables'!AA13,'Data Tables'!AB13),IF($X$22="950-1000",IF($X$23="Yes",'Data Tables'!AA13,'Data Tables'!AB13),IF($X$22="1000-1100",IF($X$23="Yes",'Data Tables'!AA13,'Data Tables'!AB13),IF($X$22="1100-1200",IF($X$23="Yes",'Data Tables'!AA13,'Data Tables'!AB13),IF($X$23="Yes",'Data Tables'!AG13,'Data Tables'!AH13))))))))))),IF($X$21="Impermeable - drained for arable",IF($X$22="650-675",IF($X$23="Yes",'Data Tables'!Q13,'Data Tables'!R13),IF($X$22="675-700",IF($X$23="Yes",'Data Tables'!Q13,'Data Tables'!R13),IF($X$22="700-750",IF($X$23="Yes",'Data Tables'!W13,'Data Tables'!X13),IF($X$22="750-800",IF($X$23="Yes",'Data Tables'!W13,'Data Tables'!X13),IF($X$22="800-850",IF($X$23="Yes",'Data Tables'!W13,'Data Tables'!X13),IF($X$22="850-900",IF($X$23="Yes",'Data Tables'!W13,'Data Tables'!X13),IF($X$22="900-950",IF($X$23="Yes",'Data Tables'!AC13,'Data Tables'!AD13),IF($X$22="950-1000",IF($X$23="Yes",'Data Tables'!AC13,'Data Tables'!AD13),IF($X$22="1000-1100",IF($X$23="Yes",'Data Tables'!AC13,'Data Tables'!AD13),IF($X$22="1100-1200",IF($X$23="Yes",'Data Tables'!AC13,'Data Tables'!AD13),IF($X$23="Yes",'Data Tables'!AI13,'Data Tables'!AJ13))))))))))),IF($X$22="650-675",IF($X$23="Yes",'Data Tables'!S13,'Data Tables'!T13),IF($X$22="675-700",IF($X$23="Yes",'Data Tables'!S13,'Data Tables'!T13),IF($X$22="700-750",IF($X$23="Yes",'Data Tables'!Y13,'Data Tables'!Z13),IF($X$22="750-800",IF($X$23="Yes",'Data Tables'!Y13,'Data Tables'!Z13),IF($X$22="800-850",IF($X$23="Yes",'Data Tables'!Y13,'Data Tables'!Z13),IF($X$22="850-900",IF($X$23="Yes",'Data Tables'!Y13,'Data Tables'!Z13),IF($X$22="900-950",IF($X$23="Yes",'Data Tables'!AE13,'Data Tables'!AF13),IF($X$22="950-1000",IF($X$23="Yes",'Data Tables'!AE13,'Data Tables'!AF13),IF($X$22="1000-1100",IF($X$23="Yes",'Data Tables'!AE13,'Data Tables'!AF13),IF($X$22="1100-1200",IF($X$23="Yes",'Data Tables'!AE13,'Data Tables'!AF13),IF($X$23="Yes",'Data Tables'!AK13,'Data Tables'!AL13))))))))))))))),""),""),"")</f>
        <v/>
      </c>
      <c r="Z37" s="202" t="str">
        <f>IF($X$15="Yes",IF($X37="Yes",IF($X$20="Parrett",((IF($X$21="Freely draining",IF($X$22="650-675",IF($X$23="Yes",'Data Tables'!O25,'Data Tables'!P25),IF($X$22="675-700",IF($X$23="Yes",'Data Tables'!O25,'Data Tables'!P25),IF($X$22="700-750",IF($X$23="Yes",'Data Tables'!U25,'Data Tables'!V25),IF($X$22="750-800",IF($X$23="Yes",'Data Tables'!U25,'Data Tables'!V25),IF($X$22="800-850",IF($X$23="Yes",'Data Tables'!U25,'Data Tables'!V25),IF($X$22="850-900",IF($X$23="Yes",'Data Tables'!U25,'Data Tables'!V25),IF($X$22="900-950",IF($X$23="Yes",'Data Tables'!AA25,'Data Tables'!AB25),IF($X$22="950-1000",IF($X$23="Yes",'Data Tables'!AA25,'Data Tables'!AB25),IF($X$22="1000-1100",IF($X$23="Yes",'Data Tables'!AA25,'Data Tables'!AB25),IF($X$22="1100-1200",IF($X$23="Yes",'Data Tables'!AA25,'Data Tables'!AB25),IF($X$23="Yes",'Data Tables'!AG25,'Data Tables'!AH25))))))))))),IF($X$21="Impermeable - drained for arable",IF($X$22="650-675",IF($X$23="Yes",'Data Tables'!Q25,'Data Tables'!R25),IF($X$22="675-700",IF($X$23="Yes",'Data Tables'!Q25,'Data Tables'!R25),IF($X$22="700-750",IF($X$23="Yes",'Data Tables'!W25,'Data Tables'!X25),IF($X$22="750-800",IF($X$23="Yes",'Data Tables'!W25,'Data Tables'!X25),IF($X$22="800-850",IF($X$23="Yes",'Data Tables'!W25,'Data Tables'!X25),IF($X$22="850-900",IF($X$23="Yes",'Data Tables'!W25,'Data Tables'!X25),IF($X$22="900-950",IF($X$23="Yes",'Data Tables'!AC25,'Data Tables'!AD25),IF($X$22="950-1000",IF($X$23="Yes",'Data Tables'!AC25,'Data Tables'!AD25),IF($X$22="1000-1100",IF($X$23="Yes",'Data Tables'!AC25,'Data Tables'!AD25),IF($X$22="1100-1200",IF($X$23="Yes",'Data Tables'!AC25,'Data Tables'!AD25),IF($X$23="Yes",'Data Tables'!AI25,'Data Tables'!AJ25))))))))))),IF($X$22="650-675",IF($X$23="Yes",'Data Tables'!S25,'Data Tables'!T25),IF($X$22="675-700",IF($X$23="Yes",'Data Tables'!S25,'Data Tables'!T25),IF($X$22="700-750",IF($X$23="Yes",'Data Tables'!Y25,'Data Tables'!Z25),IF($X$22="750-800",IF($X$23="Yes",'Data Tables'!Y25,'Data Tables'!Z25),IF($X$22="800-850",IF($X$23="Yes",'Data Tables'!Y25,'Data Tables'!Z25),IF($X$22="850-900",IF($X$23="Yes",'Data Tables'!Y25,'Data Tables'!Z25),IF($X$22="900-950",IF($X$23="Yes",'Data Tables'!AE25,'Data Tables'!AF25),IF($X$22="950-1000",IF($X$23="Yes",'Data Tables'!AE25,'Data Tables'!AF25),IF($X$22="1000-1100",IF($X$23="Yes",'Data Tables'!AE25,'Data Tables'!AF25),IF($X$22="1100-1200",IF($X$23="Yes",'Data Tables'!AE25,'Data Tables'!AF25),IF($X$23="Yes",'Data Tables'!AK25,'Data Tables'!AL25))))))))))))))),""),""),"")</f>
        <v/>
      </c>
      <c r="AA37" s="202" t="str">
        <f>IF($X$15="Yes",IF($X37="Yes",IF($X$20="Brue &amp; Axe",IF($X$21="Freely draining",IF($X$22="650-675",IF($X$23="Yes",'Data Tables'!O37,'Data Tables'!P37),IF($X$22="675-700",IF($X$23="Yes",'Data Tables'!O37,'Data Tables'!P37),IF($X$22="700-750",IF($X$23="Yes",'Data Tables'!U37,'Data Tables'!V37),IF($X$22="750-800",IF($X$23="Yes",'Data Tables'!U37,'Data Tables'!V37),IF($X$22="800-850",IF($X$23="Yes",'Data Tables'!U37,'Data Tables'!V37),IF($X$22="850-900",IF($X$23="Yes",'Data Tables'!U37,'Data Tables'!V37),IF($X$22="900-950",IF($X$23="Yes",'Data Tables'!AA37,'Data Tables'!AB37),IF($X$22="950-1000",IF($X$23="Yes",'Data Tables'!AA37,'Data Tables'!AB37),IF($X$22="1000-1100",IF($X$23="Yes",'Data Tables'!AA37,'Data Tables'!AB37),IF($X$22="1100-1200",IF($X$23="Yes",'Data Tables'!AA37,'Data Tables'!AB37),IF($X$23="Yes",'Data Tables'!AG37,'Data Tables'!AH37))))))))))),IF($X$21="Impermeable - drained for arable",IF($X$22="650-675",IF($X$23="Yes",'Data Tables'!Q37,'Data Tables'!R37),IF($X$22="675-700",IF($X$23="Yes",'Data Tables'!Q37,'Data Tables'!R37),IF($X$22="700-750",IF($X$23="Yes",'Data Tables'!W37,'Data Tables'!X37),IF($X$22="750-800",IF($X$23="Yes",'Data Tables'!W37,'Data Tables'!X37),IF($X$22="800-850",IF($X$23="Yes",'Data Tables'!W37,'Data Tables'!X37),IF($X$22="850-900",IF($X$23="Yes",'Data Tables'!W37,'Data Tables'!X37),IF($X$22="900-950",IF($X$23="Yes",'Data Tables'!AC37,'Data Tables'!AD37),IF($X$22="950-1000",IF($X$23="Yes",'Data Tables'!AC37,'Data Tables'!AD37),IF($X$22="1000-1100",IF($X$23="Yes",'Data Tables'!AC37,'Data Tables'!AD37),IF($X$22="1100-1200",IF($X$23="Yes",'Data Tables'!AC37,'Data Tables'!AD37),IF($X$23="Yes",'Data Tables'!AI37,'Data Tables'!AJ37))))))))))),IF($X$22="650-675",IF($X$23="Yes",'Data Tables'!S37,'Data Tables'!T37),IF($X$22="675-700",IF($X$23="Yes",'Data Tables'!S37,'Data Tables'!T37),IF($X$22="700-750",IF($X$23="Yes",'Data Tables'!Y37,'Data Tables'!Z37),IF($X$22="750-800",IF($X$23="Yes",'Data Tables'!Y37,'Data Tables'!Z37),IF($X$22="800-850",IF($X$23="Yes",'Data Tables'!Y37,'Data Tables'!Z37),IF($X$22="850-900",IF($X$23="Yes",'Data Tables'!Y37,'Data Tables'!Z37),IF($X$22="900-950",IF($X$23="Yes",'Data Tables'!AE37,'Data Tables'!AF37),IF($X$22="950-1000",IF($X$23="Yes",'Data Tables'!AE37,'Data Tables'!AF37),IF($X$22="1000-1100",IF($X$23="Yes",'Data Tables'!AE37,'Data Tables'!AF37),IF($X$22="1100-1200",IF($X$23="Yes",'Data Tables'!AE37,'Data Tables'!AF37),IF($X$23="Yes",'Data Tables'!AK37,'Data Tables'!AL37))))))))))))),""),""),"")</f>
        <v/>
      </c>
      <c r="AB37" s="223"/>
    </row>
    <row r="38" spans="2:52" ht="15.95" customHeight="1">
      <c r="B38" s="44"/>
      <c r="C38" s="40"/>
      <c r="D38" s="149"/>
      <c r="E38" s="437" t="s">
        <v>57</v>
      </c>
      <c r="F38" s="437"/>
      <c r="G38" s="437"/>
      <c r="H38" s="437"/>
      <c r="I38" s="437"/>
      <c r="J38" s="103"/>
      <c r="K38" s="225" t="str">
        <f>IF('Stage 2'!$K32&gt;0,SUM('Stage 2'!$O32,'Stage 2'!$P32,'Stage 2'!$Q32)/'Stage 2'!$K32,"")</f>
        <v/>
      </c>
      <c r="L38" s="310"/>
      <c r="M38" s="188"/>
      <c r="N38" s="160" t="s">
        <v>175</v>
      </c>
      <c r="O38" s="161" t="s">
        <v>298</v>
      </c>
      <c r="P38" s="179"/>
      <c r="Q38" s="47"/>
      <c r="R38" s="47"/>
      <c r="S38" s="437" t="s">
        <v>57</v>
      </c>
      <c r="T38" s="437"/>
      <c r="U38" s="437"/>
      <c r="V38" s="437"/>
      <c r="W38" s="437"/>
      <c r="X38" s="160" t="s">
        <v>175</v>
      </c>
      <c r="Y38" s="202" t="str">
        <f>IF($X$15="Yes",IF($X38="Yes",IF($X$20="Tone",((IF($X$21="Freely draining",IF($X$22="650-675",IF($X$23="Yes",'Data Tables'!O14,'Data Tables'!P14),IF($X$22="675-700",IF($X$23="Yes",'Data Tables'!O14,'Data Tables'!P14),IF($X$22="700-750",IF($X$23="Yes",'Data Tables'!U14,'Data Tables'!V14),IF($X$22="750-800",IF($X$23="Yes",'Data Tables'!U14,'Data Tables'!V14),IF($X$22="800-850",IF($X$23="Yes",'Data Tables'!U14,'Data Tables'!V14),IF($X$22="850-900",IF($X$23="Yes",'Data Tables'!U14,'Data Tables'!V14),IF($X$22="900-950",IF($X$23="Yes",'Data Tables'!AA14,'Data Tables'!AB14),IF($X$22="950-1000",IF($X$23="Yes",'Data Tables'!AA14,'Data Tables'!AB14),IF($X$22="1000-1100",IF($X$23="Yes",'Data Tables'!AA14,'Data Tables'!AB14),IF($X$22="1100-1200",IF($X$23="Yes",'Data Tables'!AA14,'Data Tables'!AB14),IF($X$23="Yes",'Data Tables'!AG14,'Data Tables'!AH14))))))))))),IF($X$21="Impermeable - drained for arable",IF($X$22="650-675",IF($X$23="Yes",'Data Tables'!Q14,'Data Tables'!R14),IF($X$22="675-700",IF($X$23="Yes",'Data Tables'!Q14,'Data Tables'!R14),IF($X$22="700-750",IF($X$23="Yes",'Data Tables'!W14,'Data Tables'!X14),IF($X$22="750-800",IF($X$23="Yes",'Data Tables'!W14,'Data Tables'!X14),IF($X$22="800-850",IF($X$23="Yes",'Data Tables'!W14,'Data Tables'!X14),IF($X$22="850-900",IF($X$23="Yes",'Data Tables'!W14,'Data Tables'!X14),IF($X$22="900-950",IF($X$23="Yes",'Data Tables'!AC14,'Data Tables'!AD14),IF($X$22="950-1000",IF($X$23="Yes",'Data Tables'!AC14,'Data Tables'!AD14),IF($X$22="1000-1100",IF($X$23="Yes",'Data Tables'!AC14,'Data Tables'!AD14),IF($X$22="1100-1200",IF($X$23="Yes",'Data Tables'!AC14,'Data Tables'!AD14),IF($X$23="Yes",'Data Tables'!AI14,'Data Tables'!AJ14))))))))))),IF($X$22="650-675",IF($X$23="Yes",'Data Tables'!S14,'Data Tables'!T14),IF($X$22="675-700",IF($X$23="Yes",'Data Tables'!S14,'Data Tables'!T14),IF($X$22="700-750",IF($X$23="Yes",'Data Tables'!Y14,'Data Tables'!Z14),IF($X$22="750-800",IF($X$23="Yes",'Data Tables'!Y14,'Data Tables'!Z14),IF($X$22="800-850",IF($X$23="Yes",'Data Tables'!Y14,'Data Tables'!Z14),IF($X$22="850-900",IF($X$23="Yes",'Data Tables'!Y14,'Data Tables'!Z14),IF($X$22="900-950",IF($X$23="Yes",'Data Tables'!AE14,'Data Tables'!AF14),IF($X$22="950-1000",IF($X$23="Yes",'Data Tables'!AE14,'Data Tables'!AF14),IF($X$22="1000-1100",IF($X$23="Yes",'Data Tables'!AE14,'Data Tables'!AF14),IF($X$22="1100-1200",IF($X$23="Yes",'Data Tables'!AE14,'Data Tables'!AF14),IF($X$23="Yes",'Data Tables'!AK14,'Data Tables'!AL14))))))))))))))),""),""),"")</f>
        <v/>
      </c>
      <c r="Z38" s="202" t="str">
        <f>IF($X$15="Yes",IF($X38="Yes",IF($X$20="Parrett",((IF($X$21="Freely draining",IF($X$22="650-675",IF($X$23="Yes",'Data Tables'!O26,'Data Tables'!P26),IF($X$22="675-700",IF($X$23="Yes",'Data Tables'!O26,'Data Tables'!P26),IF($X$22="700-750",IF($X$23="Yes",'Data Tables'!U26,'Data Tables'!V26),IF($X$22="750-800",IF($X$23="Yes",'Data Tables'!U26,'Data Tables'!V26),IF($X$22="800-850",IF($X$23="Yes",'Data Tables'!U26,'Data Tables'!V26),IF($X$22="850-900",IF($X$23="Yes",'Data Tables'!U26,'Data Tables'!V26),IF($X$22="900-950",IF($X$23="Yes",'Data Tables'!AA26,'Data Tables'!AB26),IF($X$22="950-1000",IF($X$23="Yes",'Data Tables'!AA26,'Data Tables'!AB26),IF($X$22="1000-1100",IF($X$23="Yes",'Data Tables'!AA26,'Data Tables'!AB26),IF($X$22="1100-1200",IF($X$23="Yes",'Data Tables'!AA26,'Data Tables'!AB26),IF($X$23="Yes",'Data Tables'!AG26,'Data Tables'!AH26))))))))))),IF($X$21="Impermeable - drained for arable",IF($X$22="650-675",IF($X$23="Yes",'Data Tables'!Q26,'Data Tables'!R26),IF($X$22="675-700",IF($X$23="Yes",'Data Tables'!Q26,'Data Tables'!R26),IF($X$22="700-750",IF($X$23="Yes",'Data Tables'!W26,'Data Tables'!X26),IF($X$22="750-800",IF($X$23="Yes",'Data Tables'!W26,'Data Tables'!X26),IF($X$22="800-850",IF($X$23="Yes",'Data Tables'!W26,'Data Tables'!X26),IF($X$22="850-900",IF($X$23="Yes",'Data Tables'!W26,'Data Tables'!X26),IF($X$22="900-950",IF($X$23="Yes",'Data Tables'!AC26,'Data Tables'!AD26),IF($X$22="950-1000",IF($X$23="Yes",'Data Tables'!AC26,'Data Tables'!AD26),IF($X$22="1000-1100",IF($X$23="Yes",'Data Tables'!AC26,'Data Tables'!AD26),IF($X$22="1100-1200",IF($X$23="Yes",'Data Tables'!AC26,'Data Tables'!AD26),IF($X$23="Yes",'Data Tables'!AI26,'Data Tables'!AJ26))))))))))),IF($X$22="650-675",IF($X$23="Yes",'Data Tables'!S26,'Data Tables'!T26),IF($X$22="675-700",IF($X$23="Yes",'Data Tables'!S26,'Data Tables'!T26),IF($X$22="700-750",IF($X$23="Yes",'Data Tables'!Y26,'Data Tables'!Z26),IF($X$22="750-800",IF($X$23="Yes",'Data Tables'!Y26,'Data Tables'!Z26),IF($X$22="800-850",IF($X$23="Yes",'Data Tables'!Y26,'Data Tables'!Z26),IF($X$22="850-900",IF($X$23="Yes",'Data Tables'!Y26,'Data Tables'!Z26),IF($X$22="900-950",IF($X$23="Yes",'Data Tables'!AE26,'Data Tables'!AF26),IF($X$22="950-1000",IF($X$23="Yes",'Data Tables'!AE26,'Data Tables'!AF26),IF($X$22="1000-1100",IF($X$23="Yes",'Data Tables'!AE26,'Data Tables'!AF26),IF($X$22="1100-1200",IF($X$23="Yes",'Data Tables'!AE26,'Data Tables'!AF26),IF($X$23="Yes",'Data Tables'!AK26,'Data Tables'!AL26))))))))))))))),""),""),"")</f>
        <v/>
      </c>
      <c r="AA38" s="202" t="str">
        <f>IF($X$15="Yes",IF($X38="Yes",IF($X$20="Brue &amp; Axe",IF($X$21="Freely draining",IF($X$22="650-675",IF($X$23="Yes",'Data Tables'!O38,'Data Tables'!P38),IF($X$22="675-700",IF($X$23="Yes",'Data Tables'!O38,'Data Tables'!P38),IF($X$22="700-750",IF($X$23="Yes",'Data Tables'!U38,'Data Tables'!V38),IF($X$22="750-800",IF($X$23="Yes",'Data Tables'!U38,'Data Tables'!V38),IF($X$22="800-850",IF($X$23="Yes",'Data Tables'!U38,'Data Tables'!V38),IF($X$22="850-900",IF($X$23="Yes",'Data Tables'!U38,'Data Tables'!V38),IF($X$22="900-950",IF($X$23="Yes",'Data Tables'!AA38,'Data Tables'!AB38),IF($X$22="950-1000",IF($X$23="Yes",'Data Tables'!AA38,'Data Tables'!AB38),IF($X$22="1000-1100",IF($X$23="Yes",'Data Tables'!AA38,'Data Tables'!AB38),IF($X$22="1100-1200",IF($X$23="Yes",'Data Tables'!AA38,'Data Tables'!AB38),IF($X$23="Yes",'Data Tables'!AG38,'Data Tables'!AH38))))))))))),IF($X$21="Impermeable - drained for arable",IF($X$22="650-675",IF($X$23="Yes",'Data Tables'!Q38,'Data Tables'!R38),IF($X$22="675-700",IF($X$23="Yes",'Data Tables'!Q38,'Data Tables'!R38),IF($X$22="700-750",IF($X$23="Yes",'Data Tables'!W38,'Data Tables'!X38),IF($X$22="750-800",IF($X$23="Yes",'Data Tables'!W38,'Data Tables'!X38),IF($X$22="800-850",IF($X$23="Yes",'Data Tables'!W38,'Data Tables'!X38),IF($X$22="850-900",IF($X$23="Yes",'Data Tables'!W38,'Data Tables'!X38),IF($X$22="900-950",IF($X$23="Yes",'Data Tables'!AC38,'Data Tables'!AD38),IF($X$22="950-1000",IF($X$23="Yes",'Data Tables'!AC38,'Data Tables'!AD38),IF($X$22="1000-1100",IF($X$23="Yes",'Data Tables'!AC38,'Data Tables'!AD38),IF($X$22="1100-1200",IF($X$23="Yes",'Data Tables'!AC38,'Data Tables'!AD38),IF($X$23="Yes",'Data Tables'!AI38,'Data Tables'!AJ38))))))))))),IF($X$22="650-675",IF($X$23="Yes",'Data Tables'!S38,'Data Tables'!T38),IF($X$22="675-700",IF($X$23="Yes",'Data Tables'!S38,'Data Tables'!T38),IF($X$22="700-750",IF($X$23="Yes",'Data Tables'!Y38,'Data Tables'!Z38),IF($X$22="750-800",IF($X$23="Yes",'Data Tables'!Y38,'Data Tables'!Z38),IF($X$22="800-850",IF($X$23="Yes",'Data Tables'!Y38,'Data Tables'!Z38),IF($X$22="850-900",IF($X$23="Yes",'Data Tables'!Y38,'Data Tables'!Z38),IF($X$22="900-950",IF($X$23="Yes",'Data Tables'!AE38,'Data Tables'!AF38),IF($X$22="950-1000",IF($X$23="Yes",'Data Tables'!AE38,'Data Tables'!AF38),IF($X$22="1000-1100",IF($X$23="Yes",'Data Tables'!AE38,'Data Tables'!AF38),IF($X$22="1100-1200",IF($X$23="Yes",'Data Tables'!AE38,'Data Tables'!AF38),IF($X$23="Yes",'Data Tables'!AK38,'Data Tables'!AL38))))))))))))),""),""),"")</f>
        <v/>
      </c>
      <c r="AB38" s="223"/>
    </row>
    <row r="39" spans="2:52" ht="15.95" customHeight="1">
      <c r="B39" s="44"/>
      <c r="C39" s="40"/>
      <c r="D39" s="149"/>
      <c r="E39" s="437" t="str">
        <f>'Stage 2'!F33</f>
        <v>Woodland (e.g. broad-leaved, orchard)</v>
      </c>
      <c r="F39" s="437"/>
      <c r="G39" s="437"/>
      <c r="H39" s="437"/>
      <c r="I39" s="437"/>
      <c r="J39" s="103"/>
      <c r="K39" s="203" t="str">
        <f>IF('Stage 2'!K33&gt;0,'Data Tables'!L5,"")</f>
        <v/>
      </c>
      <c r="L39" s="310"/>
      <c r="M39" s="188"/>
      <c r="N39" s="160" t="s">
        <v>175</v>
      </c>
      <c r="O39" s="161" t="s">
        <v>298</v>
      </c>
      <c r="P39" s="179"/>
      <c r="Q39" s="47"/>
      <c r="R39" s="47"/>
      <c r="S39" s="437" t="str">
        <f>E39</f>
        <v>Woodland (e.g. broad-leaved, orchard)</v>
      </c>
      <c r="T39" s="437"/>
      <c r="U39" s="437"/>
      <c r="V39" s="437"/>
      <c r="W39" s="437"/>
      <c r="X39" s="160" t="s">
        <v>175</v>
      </c>
      <c r="Y39" s="459" t="str">
        <f>IF($X$15="Yes",(IF(X39="Yes",'Data Tables'!L5,0)),"")</f>
        <v/>
      </c>
      <c r="Z39" s="459"/>
      <c r="AA39" s="459"/>
      <c r="AB39" s="223"/>
    </row>
    <row r="40" spans="2:52" ht="15.95" customHeight="1">
      <c r="B40" s="44"/>
      <c r="C40" s="40"/>
      <c r="D40" s="149"/>
      <c r="E40" s="437" t="str">
        <f>'Stage 2'!F34</f>
        <v>Greenspace / semi-natural grassland</v>
      </c>
      <c r="F40" s="437"/>
      <c r="G40" s="437"/>
      <c r="H40" s="437"/>
      <c r="I40" s="437"/>
      <c r="J40" s="103"/>
      <c r="K40" s="203" t="str">
        <f>IF('Stage 2'!K34&gt;0,'Data Tables'!L4,"")</f>
        <v/>
      </c>
      <c r="L40" s="310"/>
      <c r="M40" s="188"/>
      <c r="N40" s="160" t="s">
        <v>175</v>
      </c>
      <c r="O40" s="161" t="s">
        <v>298</v>
      </c>
      <c r="P40" s="179"/>
      <c r="Q40" s="47"/>
      <c r="R40" s="47"/>
      <c r="S40" s="437" t="str">
        <f>E40</f>
        <v>Greenspace / semi-natural grassland</v>
      </c>
      <c r="T40" s="437"/>
      <c r="U40" s="437"/>
      <c r="V40" s="437"/>
      <c r="W40" s="437"/>
      <c r="X40" s="160" t="s">
        <v>175</v>
      </c>
      <c r="Y40" s="459" t="str">
        <f>IF($X$15="Yes",(IF(X40="Yes",'Data Tables'!L4,0)),"")</f>
        <v/>
      </c>
      <c r="Z40" s="459"/>
      <c r="AA40" s="459"/>
      <c r="AB40" s="223"/>
    </row>
    <row r="41" spans="2:52" ht="15.95" customHeight="1">
      <c r="B41" s="44"/>
      <c r="C41" s="40"/>
      <c r="D41" s="149"/>
      <c r="E41" s="437" t="str">
        <f>'Stage 2'!F35</f>
        <v>Shrub / heathland / bracken / bog</v>
      </c>
      <c r="F41" s="437"/>
      <c r="G41" s="437"/>
      <c r="H41" s="437"/>
      <c r="I41" s="437"/>
      <c r="J41" s="103"/>
      <c r="K41" s="203" t="str">
        <f>IF('Stage 2'!K35&gt;0,'Data Tables'!L6,"")</f>
        <v/>
      </c>
      <c r="L41" s="310"/>
      <c r="M41" s="188"/>
      <c r="N41" s="160" t="s">
        <v>175</v>
      </c>
      <c r="O41" s="161" t="s">
        <v>298</v>
      </c>
      <c r="P41" s="179"/>
      <c r="Q41" s="47"/>
      <c r="R41" s="47"/>
      <c r="S41" s="437" t="str">
        <f>E41</f>
        <v>Shrub / heathland / bracken / bog</v>
      </c>
      <c r="T41" s="437"/>
      <c r="U41" s="437"/>
      <c r="V41" s="437"/>
      <c r="W41" s="437"/>
      <c r="X41" s="160" t="s">
        <v>175</v>
      </c>
      <c r="Y41" s="459" t="str">
        <f>IF($X$15="Yes",(IF(X41="Yes",'Data Tables'!L6,0)),"")</f>
        <v/>
      </c>
      <c r="Z41" s="459"/>
      <c r="AA41" s="459"/>
      <c r="AB41" s="223"/>
    </row>
    <row r="42" spans="2:52" ht="15" customHeight="1">
      <c r="B42" s="44"/>
      <c r="C42" s="40"/>
      <c r="D42" s="149"/>
      <c r="E42" s="437" t="str">
        <f>'Stage 2'!F36</f>
        <v>Water</v>
      </c>
      <c r="F42" s="437"/>
      <c r="G42" s="437"/>
      <c r="H42" s="437"/>
      <c r="I42" s="437"/>
      <c r="J42" s="103"/>
      <c r="K42" s="203" t="str">
        <f>IF('Stage 2'!K36&gt;0,'Data Tables'!L7,"")</f>
        <v/>
      </c>
      <c r="L42" s="310"/>
      <c r="M42" s="188"/>
      <c r="N42" s="160" t="s">
        <v>175</v>
      </c>
      <c r="O42" s="161" t="s">
        <v>298</v>
      </c>
      <c r="P42" s="179"/>
      <c r="Q42" s="47"/>
      <c r="R42" s="47"/>
      <c r="S42" s="437" t="str">
        <f>E42</f>
        <v>Water</v>
      </c>
      <c r="T42" s="437"/>
      <c r="U42" s="437"/>
      <c r="V42" s="437"/>
      <c r="W42" s="437"/>
      <c r="X42" s="160" t="s">
        <v>175</v>
      </c>
      <c r="Y42" s="459" t="str">
        <f>IF($X$15="Yes",(IF(X42="Yes",'Data Tables'!L7,0)),"")</f>
        <v/>
      </c>
      <c r="Z42" s="459"/>
      <c r="AA42" s="459"/>
      <c r="AB42" s="223"/>
    </row>
    <row r="43" spans="2:52" ht="15.95" customHeight="1">
      <c r="B43" s="44"/>
      <c r="C43" s="40"/>
      <c r="D43" s="149"/>
      <c r="E43" s="47"/>
      <c r="F43" s="37"/>
      <c r="G43" s="47"/>
      <c r="H43" s="47"/>
      <c r="I43" s="47"/>
      <c r="J43" s="47"/>
      <c r="K43" s="47"/>
      <c r="L43" s="188"/>
      <c r="M43" s="188"/>
      <c r="N43" s="188"/>
      <c r="O43" s="167"/>
      <c r="P43" s="179"/>
      <c r="Q43" s="47"/>
      <c r="R43" s="47"/>
      <c r="S43" s="47"/>
      <c r="T43" s="47"/>
      <c r="U43" s="47"/>
      <c r="V43" s="47"/>
      <c r="W43" s="47"/>
      <c r="X43" s="103"/>
      <c r="Y43" s="47"/>
      <c r="Z43" s="47"/>
      <c r="AA43" s="47"/>
      <c r="AB43" s="223"/>
    </row>
    <row r="44" spans="2:52" ht="15.95" customHeight="1">
      <c r="B44" s="44"/>
      <c r="C44" s="40"/>
      <c r="D44" s="149"/>
      <c r="E44" s="47"/>
      <c r="F44" s="37"/>
      <c r="G44" s="47"/>
      <c r="H44" s="47"/>
      <c r="I44" s="47"/>
      <c r="J44" s="47"/>
      <c r="K44" s="47"/>
      <c r="L44" s="188"/>
      <c r="M44" s="188"/>
      <c r="N44" s="188"/>
      <c r="O44" s="167"/>
      <c r="P44" s="179"/>
      <c r="Q44" s="47"/>
      <c r="R44" s="47"/>
      <c r="S44" s="437" t="s">
        <v>303</v>
      </c>
      <c r="T44" s="437"/>
      <c r="U44" s="437"/>
      <c r="V44" s="437"/>
      <c r="W44" s="437"/>
      <c r="X44" s="311"/>
      <c r="Y44" s="47"/>
      <c r="Z44" s="237"/>
      <c r="AA44" s="47"/>
      <c r="AB44" s="223"/>
    </row>
    <row r="45" spans="2:52" ht="15.95" customHeight="1">
      <c r="B45" s="44"/>
      <c r="C45" s="40"/>
      <c r="D45" s="149"/>
      <c r="E45" s="47"/>
      <c r="F45" s="37"/>
      <c r="G45" s="47"/>
      <c r="H45" s="47"/>
      <c r="I45" s="47"/>
      <c r="J45" s="47"/>
      <c r="K45" s="47"/>
      <c r="L45" s="188"/>
      <c r="M45" s="188"/>
      <c r="N45" s="188"/>
      <c r="O45" s="167"/>
      <c r="P45" s="179"/>
      <c r="Q45" s="47"/>
      <c r="R45" s="47"/>
      <c r="S45" s="47"/>
      <c r="T45" s="47"/>
      <c r="U45" s="47"/>
      <c r="V45" s="47"/>
      <c r="W45" s="47"/>
      <c r="X45" s="103"/>
      <c r="Y45" s="47"/>
      <c r="Z45" s="47"/>
      <c r="AA45" s="47"/>
      <c r="AB45" s="223"/>
    </row>
    <row r="46" spans="2:52" ht="17.45" customHeight="1">
      <c r="B46" s="44"/>
      <c r="C46" s="40"/>
      <c r="D46" s="149"/>
      <c r="E46" s="444" t="s">
        <v>304</v>
      </c>
      <c r="F46" s="444"/>
      <c r="G46" s="444"/>
      <c r="H46" s="444"/>
      <c r="I46" s="444"/>
      <c r="J46" s="198"/>
      <c r="K46" s="47"/>
      <c r="L46" s="192">
        <f>IF(L15="Yes",(IF(N21="Yes",L21,0)+((IF(N26="Yes",K26,0)+IF(N27="Yes",K27,0)+IF(N28="Yes",K28,0))*(1-('Stage 2'!K43/100)))+IF(N29="Yes",K29,0)+IF(N30="Yes",K30,0)+IF(N31="Yes",K31,0)+IF(N32="Yes",K32,0)+IF(N33="Yes",K33,0)+IF(N34="Yes",K34,0)+IF(N35="Yes",K35,0)+IF(N36="Yes",K36,0)+IF(N37="Yes",K37,0)+IF(N38="Yes",K38,0)+IF(N39="Yes",K39,0)+IF(N40="Yes",K40,0)+IF(N41="Yes",K41,0)+IF(N42="Yes",K42,0))/COUNTIF(N21:N42,"Yes"),0)</f>
        <v>0</v>
      </c>
      <c r="M46" s="188"/>
      <c r="N46" s="188"/>
      <c r="O46" s="167"/>
      <c r="P46" s="179"/>
      <c r="Q46" s="47"/>
      <c r="R46" s="47"/>
      <c r="S46" s="444" t="s">
        <v>305</v>
      </c>
      <c r="T46" s="444"/>
      <c r="U46" s="444"/>
      <c r="V46" s="444"/>
      <c r="W46" s="444"/>
      <c r="X46" s="204">
        <f>IFERROR(SUM(Y26:AA42)/(COUNTIF(X26:X42,"Yes")),0)</f>
        <v>0</v>
      </c>
      <c r="Y46" s="148"/>
      <c r="Z46" s="148"/>
      <c r="AA46" s="148"/>
      <c r="AB46" s="223"/>
    </row>
    <row r="47" spans="2:52" ht="15.95" customHeight="1">
      <c r="B47" s="44"/>
      <c r="C47" s="40"/>
      <c r="D47" s="149"/>
      <c r="E47" s="198"/>
      <c r="F47" s="198"/>
      <c r="G47" s="198"/>
      <c r="H47" s="198"/>
      <c r="I47" s="198"/>
      <c r="J47" s="198"/>
      <c r="K47" s="47"/>
      <c r="L47" s="188"/>
      <c r="M47" s="188"/>
      <c r="N47" s="188"/>
      <c r="O47" s="167"/>
      <c r="P47" s="47"/>
      <c r="Q47" s="47"/>
      <c r="R47" s="47"/>
      <c r="S47" s="198"/>
      <c r="T47" s="198"/>
      <c r="U47" s="198"/>
      <c r="V47" s="198"/>
      <c r="W47" s="198"/>
      <c r="X47" s="333"/>
      <c r="Y47" s="226"/>
      <c r="Z47" s="333"/>
      <c r="AA47" s="226"/>
      <c r="AB47" s="223"/>
    </row>
    <row r="48" spans="2:52" ht="15.95" customHeight="1">
      <c r="B48" s="44"/>
      <c r="C48" s="40"/>
      <c r="D48" s="149"/>
      <c r="E48" s="47"/>
      <c r="F48" s="37"/>
      <c r="G48" s="47"/>
      <c r="H48" s="47"/>
      <c r="I48" s="47"/>
      <c r="J48" s="47"/>
      <c r="K48" s="47"/>
      <c r="L48" s="188"/>
      <c r="M48" s="188"/>
      <c r="N48" s="188"/>
      <c r="O48" s="167"/>
      <c r="P48" s="103"/>
      <c r="Q48" s="103"/>
      <c r="R48" s="47"/>
      <c r="S48" s="47"/>
      <c r="T48" s="47"/>
      <c r="U48" s="47"/>
      <c r="V48" s="47"/>
      <c r="W48" s="47"/>
      <c r="X48" s="47"/>
      <c r="Y48" s="47"/>
      <c r="Z48" s="47"/>
      <c r="AA48" s="47"/>
      <c r="AB48" s="223"/>
    </row>
    <row r="49" spans="2:28" ht="15.95" customHeight="1">
      <c r="B49" s="44"/>
      <c r="C49" s="40"/>
      <c r="D49" s="149"/>
      <c r="E49" s="47"/>
      <c r="F49" s="37"/>
      <c r="G49" s="47"/>
      <c r="H49" s="47"/>
      <c r="I49" s="444" t="s">
        <v>306</v>
      </c>
      <c r="J49" s="444"/>
      <c r="K49" s="444"/>
      <c r="L49" s="444"/>
      <c r="M49" s="444"/>
      <c r="N49" s="444"/>
      <c r="O49" s="444"/>
      <c r="P49" s="192" t="str">
        <f>IF(L46+X46&gt;0,L46+X46,"")</f>
        <v/>
      </c>
      <c r="Q49" s="188"/>
      <c r="R49" s="226"/>
      <c r="S49" s="47"/>
      <c r="T49" s="47"/>
      <c r="U49" s="47"/>
      <c r="V49" s="47"/>
      <c r="W49" s="47"/>
      <c r="X49" s="47"/>
      <c r="Y49" s="47"/>
      <c r="Z49" s="47"/>
      <c r="AA49" s="47"/>
      <c r="AB49" s="223"/>
    </row>
    <row r="50" spans="2:28" ht="15.95" customHeight="1" thickBot="1">
      <c r="B50" s="44"/>
      <c r="C50" s="40"/>
      <c r="D50" s="227"/>
      <c r="E50" s="168"/>
      <c r="F50" s="168"/>
      <c r="G50" s="168"/>
      <c r="H50" s="168"/>
      <c r="I50" s="168"/>
      <c r="J50" s="168"/>
      <c r="K50" s="168"/>
      <c r="L50" s="168"/>
      <c r="M50" s="168"/>
      <c r="N50" s="168"/>
      <c r="O50" s="168"/>
      <c r="P50" s="168"/>
      <c r="Q50" s="168"/>
      <c r="R50" s="47"/>
      <c r="S50" s="47"/>
      <c r="T50" s="47"/>
      <c r="U50" s="228"/>
      <c r="V50" s="228"/>
      <c r="W50" s="228"/>
      <c r="X50" s="228"/>
      <c r="Y50" s="228"/>
      <c r="Z50" s="228"/>
      <c r="AA50" s="228"/>
      <c r="AB50" s="229"/>
    </row>
    <row r="51" spans="2:28" ht="11.45" customHeight="1">
      <c r="B51" s="44"/>
      <c r="C51" s="40"/>
      <c r="D51" s="47"/>
      <c r="E51" s="47"/>
      <c r="F51" s="47"/>
      <c r="G51" s="47"/>
      <c r="H51" s="47"/>
      <c r="I51" s="47"/>
      <c r="J51" s="47"/>
      <c r="K51" s="47"/>
      <c r="L51" s="47"/>
      <c r="M51" s="47"/>
      <c r="N51" s="47"/>
      <c r="O51" s="47"/>
      <c r="P51" s="47"/>
      <c r="Q51" s="47"/>
      <c r="R51" s="47"/>
      <c r="S51" s="47"/>
      <c r="T51" s="230"/>
      <c r="U51" s="64"/>
      <c r="V51" s="64"/>
      <c r="W51" s="64"/>
      <c r="X51" s="64"/>
      <c r="Y51" s="64"/>
      <c r="Z51" s="64"/>
      <c r="AA51" s="64"/>
      <c r="AB51" s="64"/>
    </row>
    <row r="52" spans="2:28" ht="12.75" customHeight="1">
      <c r="B52" s="44"/>
      <c r="C52" s="40"/>
      <c r="D52" s="47"/>
      <c r="E52" s="46" t="s">
        <v>239</v>
      </c>
      <c r="F52" s="394" t="s">
        <v>307</v>
      </c>
      <c r="G52" s="394"/>
      <c r="H52" s="394"/>
      <c r="I52" s="394"/>
      <c r="J52" s="394"/>
      <c r="K52" s="394"/>
      <c r="L52" s="103" t="s">
        <v>145</v>
      </c>
      <c r="M52" s="103"/>
      <c r="N52" s="103"/>
      <c r="O52" s="47"/>
      <c r="P52" s="47"/>
      <c r="Q52" s="47"/>
      <c r="R52" s="47"/>
      <c r="S52" s="47"/>
      <c r="T52" s="230"/>
      <c r="U52" s="64"/>
      <c r="V52" s="64"/>
      <c r="W52" s="64"/>
      <c r="X52" s="64"/>
      <c r="Y52" s="64"/>
      <c r="Z52" s="64"/>
      <c r="AA52" s="64"/>
      <c r="AB52" s="64"/>
    </row>
    <row r="53" spans="2:28" ht="12.95" customHeight="1">
      <c r="B53" s="44"/>
      <c r="C53" s="40"/>
      <c r="D53" s="47"/>
      <c r="E53" s="47"/>
      <c r="F53" s="47"/>
      <c r="G53" s="47"/>
      <c r="H53" s="47"/>
      <c r="I53" s="47"/>
      <c r="J53" s="47"/>
      <c r="K53" s="47"/>
      <c r="L53" s="103"/>
      <c r="M53" s="103"/>
      <c r="N53" s="103"/>
      <c r="O53" s="47"/>
      <c r="P53" s="47"/>
      <c r="Q53" s="47"/>
      <c r="R53" s="47"/>
      <c r="S53" s="47"/>
      <c r="T53" s="230"/>
      <c r="U53" s="64"/>
      <c r="V53" s="64"/>
      <c r="W53" s="64"/>
      <c r="X53" s="64"/>
      <c r="Y53" s="64"/>
      <c r="Z53" s="64"/>
      <c r="AA53" s="64"/>
      <c r="AB53" s="64"/>
    </row>
    <row r="54" spans="2:28" ht="12.95" customHeight="1">
      <c r="B54" s="44"/>
      <c r="C54" s="40"/>
      <c r="D54" s="47"/>
      <c r="E54" s="437" t="s">
        <v>308</v>
      </c>
      <c r="F54" s="437"/>
      <c r="G54" s="437"/>
      <c r="H54" s="437"/>
      <c r="I54" s="437"/>
      <c r="J54" s="103"/>
      <c r="K54" s="47"/>
      <c r="L54" s="231" t="e">
        <f>(1/(((P49-(-IF(L62&gt;0,L62,8))))/$L$10))</f>
        <v>#VALUE!</v>
      </c>
      <c r="M54" s="232"/>
      <c r="N54" s="232"/>
      <c r="O54" s="47"/>
      <c r="P54" s="47"/>
      <c r="Q54" s="47"/>
      <c r="R54" s="47"/>
      <c r="S54" s="47"/>
      <c r="T54" s="230"/>
      <c r="U54" s="64"/>
      <c r="V54" s="64"/>
      <c r="W54" s="64"/>
      <c r="X54" s="64"/>
      <c r="Y54" s="64"/>
      <c r="Z54" s="64"/>
      <c r="AA54" s="64"/>
      <c r="AB54" s="64"/>
    </row>
    <row r="55" spans="2:28" ht="14.45" customHeight="1">
      <c r="B55" s="44"/>
      <c r="C55" s="40"/>
      <c r="D55" s="47"/>
      <c r="E55" s="437" t="s">
        <v>309</v>
      </c>
      <c r="F55" s="437"/>
      <c r="G55" s="437"/>
      <c r="H55" s="437"/>
      <c r="I55" s="437"/>
      <c r="J55" s="103"/>
      <c r="K55" s="47"/>
      <c r="L55" s="282" t="e">
        <f>(L10/($P$49-(IF(L15="Yes",IF('Stage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f>
        <v>#VALUE!</v>
      </c>
      <c r="M55" s="232"/>
      <c r="N55" s="232"/>
      <c r="O55" s="47"/>
      <c r="P55" s="47"/>
      <c r="Q55" s="47"/>
      <c r="R55" s="47"/>
      <c r="S55" s="47"/>
      <c r="T55" s="230"/>
      <c r="U55" s="64"/>
      <c r="V55" s="64"/>
      <c r="W55" s="64"/>
      <c r="X55" s="64"/>
      <c r="Y55" s="64"/>
      <c r="Z55" s="64"/>
      <c r="AA55" s="64"/>
      <c r="AB55" s="64"/>
    </row>
    <row r="56" spans="2:28" ht="14.45" customHeight="1">
      <c r="B56" s="44"/>
      <c r="C56" s="40"/>
      <c r="D56" s="47"/>
      <c r="E56" s="437" t="s">
        <v>73</v>
      </c>
      <c r="F56" s="437"/>
      <c r="G56" s="437"/>
      <c r="H56" s="437"/>
      <c r="I56" s="437"/>
      <c r="J56" s="103"/>
      <c r="K56" s="103"/>
      <c r="L56" s="231" t="e">
        <f>(1/(($P$49-'Data Tables'!L7)/$L$10))</f>
        <v>#VALUE!</v>
      </c>
      <c r="M56" s="232"/>
      <c r="N56" s="232"/>
      <c r="O56" s="161"/>
      <c r="P56" s="183"/>
      <c r="Q56" s="183"/>
      <c r="R56" s="161"/>
      <c r="S56" s="47"/>
      <c r="T56" s="230"/>
      <c r="U56" s="64"/>
      <c r="V56" s="64"/>
      <c r="W56" s="64"/>
      <c r="X56" s="64"/>
      <c r="Y56" s="64"/>
      <c r="Z56" s="64"/>
      <c r="AA56" s="64"/>
      <c r="AB56" s="64"/>
    </row>
    <row r="57" spans="2:28" ht="14.45" customHeight="1">
      <c r="B57" s="44"/>
      <c r="C57" s="40"/>
      <c r="D57" s="47"/>
      <c r="E57" s="437" t="s">
        <v>69</v>
      </c>
      <c r="F57" s="437"/>
      <c r="G57" s="437"/>
      <c r="H57" s="437"/>
      <c r="I57" s="437"/>
      <c r="J57" s="103"/>
      <c r="K57" s="103"/>
      <c r="L57" s="231" t="e">
        <f>(1/(($P$49-'Data Tables'!L5)/$L$10))</f>
        <v>#VALUE!</v>
      </c>
      <c r="M57" s="232"/>
      <c r="N57" s="232"/>
      <c r="O57" s="161"/>
      <c r="P57" s="183"/>
      <c r="Q57" s="183"/>
      <c r="R57" s="161"/>
      <c r="S57" s="47"/>
      <c r="T57" s="230"/>
      <c r="U57" s="64"/>
      <c r="V57" s="64"/>
      <c r="W57" s="64"/>
      <c r="X57" s="64"/>
      <c r="Y57" s="64"/>
      <c r="Z57" s="64"/>
      <c r="AA57" s="64"/>
      <c r="AB57" s="64"/>
    </row>
    <row r="58" spans="2:28" ht="14.45" customHeight="1">
      <c r="B58" s="44"/>
      <c r="C58" s="40"/>
      <c r="D58" s="47"/>
      <c r="E58" s="437" t="s">
        <v>310</v>
      </c>
      <c r="F58" s="437"/>
      <c r="G58" s="437"/>
      <c r="H58" s="437"/>
      <c r="I58" s="437"/>
      <c r="J58" s="103"/>
      <c r="K58" s="103"/>
      <c r="L58" s="231" t="e">
        <f>(1/(($P$49-'Data Tables'!L6)/$L$10))</f>
        <v>#VALUE!</v>
      </c>
      <c r="M58" s="232"/>
      <c r="N58" s="232"/>
      <c r="O58" s="161"/>
      <c r="P58" s="183"/>
      <c r="Q58" s="183"/>
      <c r="R58" s="161"/>
      <c r="S58" s="47"/>
      <c r="T58" s="230"/>
      <c r="U58" s="64"/>
      <c r="V58" s="64"/>
      <c r="W58" s="64"/>
      <c r="X58" s="64"/>
      <c r="Y58" s="64"/>
      <c r="Z58" s="64"/>
      <c r="AA58" s="64"/>
      <c r="AB58" s="64"/>
    </row>
    <row r="59" spans="2:28" ht="14.45" customHeight="1">
      <c r="B59" s="44"/>
      <c r="C59" s="40"/>
      <c r="D59" s="47"/>
      <c r="E59" s="437" t="s">
        <v>311</v>
      </c>
      <c r="F59" s="437"/>
      <c r="G59" s="437"/>
      <c r="H59" s="437"/>
      <c r="I59" s="437"/>
      <c r="J59" s="103"/>
      <c r="K59" s="103"/>
      <c r="L59" s="231" t="e">
        <f>(1/(($P$49-'Data Tables'!L4)/$L$10))</f>
        <v>#VALUE!</v>
      </c>
      <c r="M59" s="232"/>
      <c r="N59" s="232"/>
      <c r="O59" s="161"/>
      <c r="P59" s="183"/>
      <c r="Q59" s="183"/>
      <c r="R59" s="161"/>
      <c r="S59" s="47"/>
      <c r="T59" s="230"/>
      <c r="U59" s="64"/>
      <c r="V59" s="64"/>
      <c r="W59" s="64"/>
      <c r="X59" s="64"/>
      <c r="Y59" s="64"/>
      <c r="Z59" s="64"/>
      <c r="AA59" s="64"/>
      <c r="AB59" s="64"/>
    </row>
    <row r="60" spans="2:28" ht="7.5" customHeight="1">
      <c r="B60" s="44"/>
      <c r="C60" s="40"/>
      <c r="D60" s="47"/>
      <c r="E60" s="47"/>
      <c r="F60" s="47"/>
      <c r="G60" s="47"/>
      <c r="H60" s="47"/>
      <c r="I60" s="47"/>
      <c r="J60" s="47"/>
      <c r="K60" s="47"/>
      <c r="L60" s="47"/>
      <c r="M60" s="47"/>
      <c r="N60" s="47"/>
      <c r="O60" s="47"/>
      <c r="P60" s="47"/>
      <c r="Q60" s="47"/>
      <c r="R60" s="47"/>
      <c r="S60" s="47"/>
      <c r="T60" s="230"/>
      <c r="U60" s="64"/>
      <c r="V60" s="64"/>
      <c r="W60" s="64"/>
      <c r="X60" s="64"/>
      <c r="Y60" s="64"/>
      <c r="Z60" s="64"/>
      <c r="AA60" s="64"/>
      <c r="AB60" s="64"/>
    </row>
    <row r="61" spans="2:28" ht="15.95" customHeight="1">
      <c r="B61" s="44"/>
      <c r="C61" s="40"/>
      <c r="D61" s="47"/>
      <c r="E61" s="47"/>
      <c r="F61" s="394" t="s">
        <v>312</v>
      </c>
      <c r="G61" s="394"/>
      <c r="H61" s="394"/>
      <c r="I61" s="394"/>
      <c r="J61" s="394"/>
      <c r="K61" s="394"/>
      <c r="L61" s="148"/>
      <c r="M61" s="148"/>
      <c r="N61" s="148"/>
      <c r="O61" s="47"/>
      <c r="P61" s="47"/>
      <c r="Q61" s="47"/>
      <c r="R61" s="47"/>
      <c r="S61" s="47"/>
      <c r="T61" s="230"/>
      <c r="U61" s="64"/>
      <c r="V61" s="64"/>
      <c r="W61" s="64"/>
      <c r="X61" s="64"/>
      <c r="Y61" s="64"/>
      <c r="Z61" s="64"/>
      <c r="AA61" s="64"/>
      <c r="AB61" s="64"/>
    </row>
    <row r="62" spans="2:28" ht="17.25" customHeight="1">
      <c r="B62" s="44"/>
      <c r="C62" s="40"/>
      <c r="D62" s="47"/>
      <c r="E62" s="47"/>
      <c r="F62" s="47"/>
      <c r="G62" s="394" t="s">
        <v>313</v>
      </c>
      <c r="H62" s="394"/>
      <c r="I62" s="394"/>
      <c r="J62" s="394"/>
      <c r="K62" s="394"/>
      <c r="L62" s="160"/>
      <c r="M62" s="103"/>
      <c r="N62" s="103"/>
      <c r="O62" s="149"/>
      <c r="P62" s="47"/>
      <c r="Q62" s="47"/>
      <c r="R62" s="47"/>
      <c r="S62" s="47"/>
      <c r="T62" s="230"/>
      <c r="U62" s="64"/>
      <c r="V62" s="64"/>
      <c r="W62" s="64"/>
      <c r="X62" s="64"/>
      <c r="Y62" s="64"/>
      <c r="Z62" s="64"/>
      <c r="AA62" s="64"/>
      <c r="AB62" s="64"/>
    </row>
    <row r="63" spans="2:28" ht="57.95" customHeight="1">
      <c r="B63" s="44"/>
      <c r="C63" s="40"/>
      <c r="D63" s="47"/>
      <c r="E63" s="434" t="s">
        <v>314</v>
      </c>
      <c r="F63" s="434"/>
      <c r="G63" s="434"/>
      <c r="H63" s="434"/>
      <c r="I63" s="434"/>
      <c r="J63" s="434"/>
      <c r="K63" s="434"/>
      <c r="L63" s="434"/>
      <c r="M63" s="434"/>
      <c r="N63" s="434"/>
      <c r="O63" s="434"/>
      <c r="P63" s="434"/>
      <c r="Q63" s="434"/>
      <c r="R63" s="434"/>
      <c r="S63" s="434"/>
      <c r="T63" s="230"/>
      <c r="U63" s="64"/>
      <c r="V63" s="64"/>
      <c r="W63" s="64"/>
      <c r="X63" s="64"/>
      <c r="Y63" s="64"/>
      <c r="Z63" s="64"/>
      <c r="AA63" s="64"/>
      <c r="AB63" s="64"/>
    </row>
    <row r="64" spans="2:28" ht="14.45" customHeight="1">
      <c r="B64" s="44"/>
      <c r="C64" s="40"/>
      <c r="D64" s="47"/>
      <c r="E64" s="47"/>
      <c r="F64" s="47"/>
      <c r="G64" s="47"/>
      <c r="H64" s="47"/>
      <c r="I64" s="47"/>
      <c r="J64" s="47"/>
      <c r="K64" s="47"/>
      <c r="L64" s="148"/>
      <c r="M64" s="148"/>
      <c r="N64" s="148"/>
      <c r="O64" s="47"/>
      <c r="P64" s="148"/>
      <c r="Q64" s="148"/>
      <c r="R64" s="47"/>
      <c r="S64" s="47"/>
      <c r="T64" s="230"/>
      <c r="U64" s="64"/>
      <c r="V64" s="64"/>
      <c r="W64" s="64"/>
      <c r="X64" s="64"/>
      <c r="Y64" s="64"/>
      <c r="Z64" s="64"/>
      <c r="AA64" s="64"/>
      <c r="AB64" s="64"/>
    </row>
    <row r="65" spans="2:28" ht="9.9499999999999993" customHeight="1">
      <c r="B65" s="44"/>
      <c r="C65" s="40"/>
      <c r="D65" s="47"/>
      <c r="E65" s="46" t="s">
        <v>201</v>
      </c>
      <c r="F65" s="47" t="s">
        <v>315</v>
      </c>
      <c r="G65" s="47"/>
      <c r="H65" s="47"/>
      <c r="I65" s="47"/>
      <c r="J65" s="47"/>
      <c r="K65" s="47"/>
      <c r="L65" s="103" t="s">
        <v>145</v>
      </c>
      <c r="M65" s="103"/>
      <c r="N65" s="103"/>
      <c r="O65" s="103"/>
      <c r="P65" s="103" t="s">
        <v>145</v>
      </c>
      <c r="Q65" s="103"/>
      <c r="R65" s="103"/>
      <c r="S65" s="47"/>
      <c r="T65" s="230"/>
      <c r="U65" s="64"/>
      <c r="V65" s="64"/>
      <c r="W65" s="64"/>
      <c r="X65" s="64"/>
      <c r="Y65" s="64"/>
      <c r="Z65" s="64"/>
      <c r="AA65" s="64"/>
      <c r="AB65" s="64"/>
    </row>
    <row r="66" spans="2:28" ht="13.5" customHeight="1">
      <c r="B66" s="44"/>
      <c r="C66" s="40"/>
      <c r="D66" s="47"/>
      <c r="E66" s="46"/>
      <c r="F66" s="47"/>
      <c r="G66" s="47"/>
      <c r="H66" s="47"/>
      <c r="I66" s="47"/>
      <c r="J66" s="47"/>
      <c r="K66" s="47"/>
      <c r="L66" s="103"/>
      <c r="M66" s="103"/>
      <c r="N66" s="103"/>
      <c r="O66" s="47"/>
      <c r="P66" s="103"/>
      <c r="Q66" s="103"/>
      <c r="R66" s="103"/>
      <c r="S66" s="47"/>
      <c r="T66" s="230"/>
      <c r="U66" s="64"/>
      <c r="V66" s="233"/>
      <c r="W66" s="64"/>
      <c r="X66" s="64"/>
      <c r="Y66" s="64"/>
      <c r="Z66" s="64"/>
      <c r="AA66" s="64"/>
      <c r="AB66" s="64"/>
    </row>
    <row r="67" spans="2:28" ht="18.95" customHeight="1">
      <c r="B67" s="44"/>
      <c r="C67" s="40"/>
      <c r="D67" s="47"/>
      <c r="E67" s="437" t="s">
        <v>308</v>
      </c>
      <c r="F67" s="437"/>
      <c r="G67" s="437"/>
      <c r="H67" s="437"/>
      <c r="I67" s="437"/>
      <c r="J67" s="103"/>
      <c r="K67" s="103"/>
      <c r="L67" s="234"/>
      <c r="M67" s="183"/>
      <c r="N67" s="183"/>
      <c r="O67" s="161"/>
      <c r="P67" s="231" t="str">
        <f>IF(L67&gt;0,(1/(($P$49-(-IF(L62&gt;0,L62,8)))/L67)),"0")</f>
        <v>0</v>
      </c>
      <c r="Q67" s="232"/>
      <c r="R67" s="161" t="s">
        <v>222</v>
      </c>
      <c r="S67" s="47"/>
      <c r="T67" s="230"/>
      <c r="U67" s="64"/>
      <c r="V67" s="233"/>
      <c r="W67" s="64"/>
      <c r="X67" s="64"/>
      <c r="Y67" s="64"/>
      <c r="Z67" s="64"/>
      <c r="AA67" s="64"/>
      <c r="AB67" s="64"/>
    </row>
    <row r="68" spans="2:28" ht="22.5" customHeight="1">
      <c r="B68" s="44"/>
      <c r="C68" s="40"/>
      <c r="D68" s="47"/>
      <c r="E68" s="437" t="s">
        <v>309</v>
      </c>
      <c r="F68" s="437"/>
      <c r="G68" s="437"/>
      <c r="H68" s="437"/>
      <c r="I68" s="437"/>
      <c r="J68" s="103"/>
      <c r="K68" s="103"/>
      <c r="L68" s="234"/>
      <c r="M68" s="183"/>
      <c r="N68" s="183"/>
      <c r="O68" s="161"/>
      <c r="P68" s="231" t="str">
        <f>IF(L68&gt;0,(1/(($P$49-((IF(L15="Yes",IF('Stage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Tables'!AC52))))))))))))))/L68)),"0")</f>
        <v>0</v>
      </c>
      <c r="Q68" s="232"/>
      <c r="R68" s="161" t="s">
        <v>222</v>
      </c>
      <c r="S68" s="47"/>
      <c r="T68" s="230"/>
      <c r="U68" s="64"/>
      <c r="V68" s="64"/>
      <c r="W68" s="64"/>
      <c r="X68" s="64"/>
      <c r="Y68" s="64"/>
      <c r="Z68" s="64"/>
      <c r="AA68" s="64"/>
      <c r="AB68" s="64"/>
    </row>
    <row r="69" spans="2:28" ht="13.5" customHeight="1">
      <c r="B69" s="44"/>
      <c r="C69" s="40"/>
      <c r="D69" s="47"/>
      <c r="E69" s="437" t="s">
        <v>73</v>
      </c>
      <c r="F69" s="437"/>
      <c r="G69" s="437"/>
      <c r="H69" s="437"/>
      <c r="I69" s="437"/>
      <c r="J69" s="103"/>
      <c r="K69" s="103"/>
      <c r="L69" s="234"/>
      <c r="M69" s="183"/>
      <c r="N69" s="183"/>
      <c r="O69" s="161"/>
      <c r="P69" s="231" t="str">
        <f>IF(L69&gt;0,(1/(($P$49-'Data Tables'!L7)/L69)),"0")</f>
        <v>0</v>
      </c>
      <c r="Q69" s="232"/>
      <c r="R69" s="161" t="s">
        <v>222</v>
      </c>
      <c r="S69" s="47"/>
      <c r="T69" s="230"/>
      <c r="U69" s="64"/>
      <c r="V69" s="233"/>
      <c r="W69" s="64"/>
      <c r="X69" s="64"/>
      <c r="Y69" s="64"/>
      <c r="Z69" s="64"/>
      <c r="AA69" s="64"/>
      <c r="AB69" s="64"/>
    </row>
    <row r="70" spans="2:28" ht="16.5" customHeight="1">
      <c r="B70" s="44"/>
      <c r="C70" s="40"/>
      <c r="D70" s="47"/>
      <c r="E70" s="437" t="s">
        <v>69</v>
      </c>
      <c r="F70" s="437"/>
      <c r="G70" s="437"/>
      <c r="H70" s="437"/>
      <c r="I70" s="437"/>
      <c r="J70" s="103"/>
      <c r="K70" s="103"/>
      <c r="L70" s="234"/>
      <c r="M70" s="183"/>
      <c r="N70" s="183"/>
      <c r="O70" s="161"/>
      <c r="P70" s="231" t="str">
        <f>IF(L70&gt;0,(1/(($P$49-'Data Tables'!L5)/L70)),"0")</f>
        <v>0</v>
      </c>
      <c r="Q70" s="232"/>
      <c r="R70" s="161" t="s">
        <v>222</v>
      </c>
      <c r="S70" s="47"/>
      <c r="T70" s="230"/>
      <c r="U70" s="64"/>
      <c r="V70" s="64"/>
      <c r="W70" s="64"/>
      <c r="X70" s="64"/>
      <c r="Y70" s="64"/>
      <c r="Z70" s="64"/>
      <c r="AA70" s="64"/>
      <c r="AB70" s="64"/>
    </row>
    <row r="71" spans="2:28" ht="16.5" customHeight="1">
      <c r="B71" s="44"/>
      <c r="C71" s="40"/>
      <c r="D71" s="47"/>
      <c r="E71" s="437" t="s">
        <v>310</v>
      </c>
      <c r="F71" s="437"/>
      <c r="G71" s="437"/>
      <c r="H71" s="437"/>
      <c r="I71" s="437"/>
      <c r="J71" s="103"/>
      <c r="K71" s="103"/>
      <c r="L71" s="234"/>
      <c r="M71" s="183"/>
      <c r="N71" s="183"/>
      <c r="O71" s="161"/>
      <c r="P71" s="231" t="str">
        <f>IF(L71&gt;0,(1/(($P$49-'Data Tables'!L6)/L71)),"0")</f>
        <v>0</v>
      </c>
      <c r="Q71" s="232"/>
      <c r="R71" s="161" t="s">
        <v>222</v>
      </c>
      <c r="S71" s="47"/>
      <c r="T71" s="230"/>
      <c r="U71" s="64"/>
      <c r="V71" s="64"/>
      <c r="W71" s="64"/>
      <c r="X71" s="64"/>
      <c r="Y71" s="64"/>
      <c r="Z71" s="64"/>
      <c r="AA71" s="64"/>
      <c r="AB71" s="64"/>
    </row>
    <row r="72" spans="2:28" ht="16.5" customHeight="1">
      <c r="B72" s="44"/>
      <c r="C72" s="40"/>
      <c r="D72" s="47"/>
      <c r="E72" s="437" t="s">
        <v>311</v>
      </c>
      <c r="F72" s="437"/>
      <c r="G72" s="437"/>
      <c r="H72" s="437"/>
      <c r="I72" s="437"/>
      <c r="J72" s="103"/>
      <c r="K72" s="103"/>
      <c r="L72" s="234"/>
      <c r="M72" s="183"/>
      <c r="N72" s="183"/>
      <c r="O72" s="161"/>
      <c r="P72" s="231" t="str">
        <f>IF(L72&gt;0,(1/(($P$49-'Data Tables'!L4)/L72)),"0")</f>
        <v>0</v>
      </c>
      <c r="Q72" s="232"/>
      <c r="R72" s="161" t="s">
        <v>222</v>
      </c>
      <c r="S72" s="47"/>
      <c r="T72" s="230"/>
      <c r="U72" s="64"/>
      <c r="V72" s="64"/>
      <c r="W72" s="64"/>
      <c r="X72" s="64"/>
      <c r="Y72" s="64"/>
      <c r="Z72" s="64"/>
      <c r="AA72" s="64"/>
      <c r="AB72" s="64"/>
    </row>
    <row r="73" spans="2:28" ht="21.95" customHeight="1">
      <c r="B73" s="44"/>
      <c r="C73" s="40"/>
      <c r="D73" s="47"/>
      <c r="E73" s="47"/>
      <c r="F73" s="47"/>
      <c r="G73" s="47"/>
      <c r="H73" s="47"/>
      <c r="I73" s="47"/>
      <c r="J73" s="47"/>
      <c r="K73" s="47"/>
      <c r="L73" s="47"/>
      <c r="M73" s="47"/>
      <c r="N73" s="47"/>
      <c r="O73" s="161"/>
      <c r="P73" s="235"/>
      <c r="Q73" s="235"/>
      <c r="R73" s="161"/>
      <c r="S73" s="47"/>
      <c r="T73" s="230"/>
      <c r="U73" s="64"/>
      <c r="V73" s="64"/>
      <c r="W73" s="64"/>
      <c r="X73" s="64"/>
      <c r="Y73" s="64"/>
      <c r="Z73" s="64"/>
      <c r="AA73" s="64"/>
      <c r="AB73" s="64"/>
    </row>
    <row r="74" spans="2:28" ht="15.75" customHeight="1">
      <c r="B74" s="44"/>
      <c r="C74" s="40"/>
      <c r="D74" s="47"/>
      <c r="E74" s="47"/>
      <c r="F74" s="393" t="s">
        <v>316</v>
      </c>
      <c r="G74" s="393"/>
      <c r="H74" s="393"/>
      <c r="I74" s="393"/>
      <c r="J74" s="105"/>
      <c r="K74" s="47"/>
      <c r="L74" s="192">
        <f>L10-(SUM(L67:L72))</f>
        <v>0</v>
      </c>
      <c r="M74" s="188"/>
      <c r="N74" s="188"/>
      <c r="O74" s="167"/>
      <c r="P74" s="203">
        <f>SUM(P67:P72)</f>
        <v>0</v>
      </c>
      <c r="Q74" s="236"/>
      <c r="R74" s="167" t="s">
        <v>222</v>
      </c>
      <c r="S74" s="47"/>
      <c r="T74" s="230"/>
      <c r="U74" s="64"/>
      <c r="V74" s="64"/>
      <c r="W74" s="64"/>
      <c r="X74" s="64"/>
      <c r="Y74" s="64"/>
      <c r="Z74" s="64"/>
      <c r="AA74" s="64"/>
      <c r="AB74" s="64"/>
    </row>
    <row r="75" spans="2:28" ht="18" customHeight="1">
      <c r="B75" s="44"/>
      <c r="C75" s="40"/>
      <c r="D75" s="47"/>
      <c r="E75" s="47"/>
      <c r="F75" s="47"/>
      <c r="G75" s="47"/>
      <c r="H75" s="47"/>
      <c r="I75" s="47"/>
      <c r="J75" s="47"/>
      <c r="K75" s="47"/>
      <c r="L75" s="47"/>
      <c r="M75" s="47"/>
      <c r="N75" s="47"/>
      <c r="O75" s="47"/>
      <c r="P75" s="47"/>
      <c r="Q75" s="47"/>
      <c r="R75" s="47"/>
      <c r="S75" s="47"/>
      <c r="T75" s="230"/>
      <c r="U75" s="64"/>
      <c r="V75" s="64"/>
      <c r="W75" s="64"/>
      <c r="X75" s="64"/>
      <c r="Y75" s="64"/>
      <c r="Z75" s="64"/>
      <c r="AA75" s="64"/>
      <c r="AB75" s="64"/>
    </row>
    <row r="76" spans="2:28" ht="66" customHeight="1">
      <c r="B76" s="44"/>
      <c r="C76" s="40"/>
      <c r="D76" s="47"/>
      <c r="E76" s="434" t="s">
        <v>317</v>
      </c>
      <c r="F76" s="434"/>
      <c r="G76" s="434"/>
      <c r="H76" s="434"/>
      <c r="I76" s="434"/>
      <c r="J76" s="434"/>
      <c r="K76" s="434"/>
      <c r="L76" s="434"/>
      <c r="M76" s="434"/>
      <c r="N76" s="434"/>
      <c r="O76" s="434"/>
      <c r="P76" s="434"/>
      <c r="Q76" s="434"/>
      <c r="R76" s="434"/>
      <c r="S76" s="434"/>
      <c r="T76" s="230"/>
      <c r="U76" s="64"/>
      <c r="V76" s="64"/>
      <c r="W76" s="64"/>
      <c r="X76" s="64"/>
      <c r="Y76" s="64"/>
      <c r="Z76" s="64"/>
      <c r="AA76" s="64"/>
      <c r="AB76" s="64"/>
    </row>
    <row r="77" spans="2:28" ht="15.6">
      <c r="B77" s="44"/>
      <c r="C77" s="40"/>
      <c r="D77" s="47"/>
      <c r="E77" s="47"/>
      <c r="F77" s="47"/>
      <c r="G77" s="47"/>
      <c r="H77" s="47"/>
      <c r="I77" s="47"/>
      <c r="J77" s="47"/>
      <c r="K77" s="47"/>
      <c r="L77" s="47"/>
      <c r="M77" s="47"/>
      <c r="N77" s="47"/>
      <c r="O77" s="47"/>
      <c r="P77" s="47"/>
      <c r="Q77" s="47"/>
      <c r="R77" s="47"/>
      <c r="S77" s="47"/>
      <c r="T77" s="230"/>
      <c r="U77" s="64"/>
      <c r="V77" s="64"/>
      <c r="W77" s="64"/>
      <c r="X77" s="64"/>
      <c r="Y77" s="64"/>
      <c r="Z77" s="64"/>
      <c r="AA77" s="64"/>
      <c r="AB77" s="64"/>
    </row>
    <row r="78" spans="2:28" ht="15.6">
      <c r="B78" s="44"/>
      <c r="C78" s="40"/>
      <c r="D78" s="47"/>
      <c r="E78" s="46" t="s">
        <v>277</v>
      </c>
      <c r="F78" s="47" t="s">
        <v>315</v>
      </c>
      <c r="G78" s="47"/>
      <c r="H78" s="47"/>
      <c r="I78" s="47"/>
      <c r="J78" s="47"/>
      <c r="K78" s="47"/>
      <c r="L78" s="103" t="s">
        <v>145</v>
      </c>
      <c r="M78" s="103"/>
      <c r="N78" s="103"/>
      <c r="O78" s="103"/>
      <c r="P78" s="103" t="s">
        <v>145</v>
      </c>
      <c r="Q78" s="103"/>
      <c r="R78" s="103"/>
      <c r="S78" s="47"/>
      <c r="T78" s="230"/>
      <c r="U78" s="64"/>
      <c r="V78" s="64"/>
      <c r="W78" s="64"/>
      <c r="X78" s="64"/>
      <c r="Y78" s="64"/>
      <c r="Z78" s="64"/>
      <c r="AA78" s="64"/>
      <c r="AB78" s="64"/>
    </row>
    <row r="79" spans="2:28" ht="15.6">
      <c r="B79" s="44"/>
      <c r="C79" s="40"/>
      <c r="D79" s="47"/>
      <c r="E79" s="46"/>
      <c r="F79" s="47"/>
      <c r="G79" s="47"/>
      <c r="H79" s="47"/>
      <c r="I79" s="47"/>
      <c r="J79" s="47"/>
      <c r="K79" s="47"/>
      <c r="L79" s="103"/>
      <c r="M79" s="103"/>
      <c r="N79" s="103"/>
      <c r="O79" s="47"/>
      <c r="P79" s="103"/>
      <c r="Q79" s="103"/>
      <c r="R79" s="103"/>
      <c r="S79" s="47"/>
      <c r="T79" s="230"/>
      <c r="U79" s="64"/>
      <c r="V79" s="64"/>
      <c r="W79" s="64"/>
      <c r="X79" s="64"/>
      <c r="Y79" s="64"/>
      <c r="Z79" s="64"/>
      <c r="AA79" s="64"/>
      <c r="AB79" s="64"/>
    </row>
    <row r="80" spans="2:28" ht="15.6">
      <c r="B80" s="44"/>
      <c r="C80" s="40"/>
      <c r="D80" s="47"/>
      <c r="E80" s="437" t="s">
        <v>308</v>
      </c>
      <c r="F80" s="437"/>
      <c r="G80" s="437"/>
      <c r="H80" s="437"/>
      <c r="I80" s="437"/>
      <c r="J80" s="103"/>
      <c r="K80" s="103"/>
      <c r="L80" s="199"/>
      <c r="M80" s="232"/>
      <c r="N80" s="232"/>
      <c r="O80" s="161"/>
      <c r="P80" s="187" t="e">
        <f>L80*($P$49-(-IF(L62&gt;0,L62,8)))</f>
        <v>#VALUE!</v>
      </c>
      <c r="Q80" s="183"/>
      <c r="R80" s="161" t="s">
        <v>199</v>
      </c>
      <c r="S80" s="47"/>
      <c r="T80" s="230"/>
      <c r="U80" s="64"/>
      <c r="V80" s="64"/>
      <c r="W80" s="64"/>
      <c r="X80" s="64"/>
      <c r="Y80" s="64"/>
      <c r="Z80" s="64"/>
      <c r="AA80" s="64"/>
      <c r="AB80" s="64"/>
    </row>
    <row r="81" spans="2:28" ht="15.6">
      <c r="B81" s="44"/>
      <c r="C81" s="40"/>
      <c r="D81" s="47"/>
      <c r="E81" s="437" t="s">
        <v>309</v>
      </c>
      <c r="F81" s="437"/>
      <c r="G81" s="437"/>
      <c r="H81" s="437"/>
      <c r="I81" s="437"/>
      <c r="J81" s="103"/>
      <c r="K81" s="103"/>
      <c r="L81" s="199"/>
      <c r="M81" s="232"/>
      <c r="N81" s="232"/>
      <c r="O81" s="161"/>
      <c r="P81" s="187" t="e">
        <f>L81*($P$49-((IF(L15="Yes",IF('Stage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Tables'!AC52)))))))))),IF('Stage 2'!$K$14="650-675",'Data Tables'!AC42,IF('Stage 2'!$K$14="675-700",'Data Tables'!AC43,IF('Stage 2'!$K$14="700-750",'Data Tables'!AC44,IF('Stage 2'!$K$14="750-800",'Data Tables'!AC45,IF('Stage 2'!$K$14="800-850",'Data Tables'!AC46,IF('Stage 2'!$K$14="850-900",'Data Tables'!AC47,IF('Stage 2'!$K$14="900-950",'Data Tables'!AC48,IF('Stage 2'!$K$14="950-1000",'Data Tables'!AC49,IF('Stage 2'!$K$14="1000-1100",'Data Tables'!AC50,IF('Stage 2'!$K$14="1100-1200",'Data Tables'!AC51,'Data Tables'!AC52))))))))))))))</f>
        <v>#VALUE!</v>
      </c>
      <c r="Q81" s="183"/>
      <c r="R81" s="161" t="s">
        <v>199</v>
      </c>
      <c r="S81" s="47"/>
      <c r="T81" s="230"/>
      <c r="U81" s="64"/>
      <c r="V81" s="64"/>
      <c r="W81" s="64"/>
      <c r="X81" s="64"/>
      <c r="Y81" s="64"/>
      <c r="Z81" s="64"/>
      <c r="AA81" s="64"/>
      <c r="AB81" s="64"/>
    </row>
    <row r="82" spans="2:28" ht="15.6">
      <c r="B82" s="44"/>
      <c r="C82" s="40"/>
      <c r="D82" s="47"/>
      <c r="E82" s="437" t="s">
        <v>73</v>
      </c>
      <c r="F82" s="437"/>
      <c r="G82" s="437"/>
      <c r="H82" s="437"/>
      <c r="I82" s="437"/>
      <c r="J82" s="103"/>
      <c r="K82" s="103"/>
      <c r="L82" s="199"/>
      <c r="M82" s="232"/>
      <c r="N82" s="232"/>
      <c r="O82" s="161"/>
      <c r="P82" s="187" t="e">
        <f>L82*($P$49-'Data Tables'!L7)</f>
        <v>#VALUE!</v>
      </c>
      <c r="Q82" s="183"/>
      <c r="R82" s="161" t="s">
        <v>199</v>
      </c>
      <c r="S82" s="47"/>
      <c r="T82" s="230"/>
      <c r="U82" s="64"/>
      <c r="V82" s="64"/>
      <c r="W82" s="64"/>
      <c r="X82" s="64"/>
      <c r="Y82" s="64"/>
      <c r="Z82" s="64"/>
      <c r="AA82" s="64"/>
      <c r="AB82" s="64"/>
    </row>
    <row r="83" spans="2:28" ht="15.6">
      <c r="B83" s="44"/>
      <c r="C83" s="40"/>
      <c r="D83" s="47"/>
      <c r="E83" s="437" t="s">
        <v>69</v>
      </c>
      <c r="F83" s="437"/>
      <c r="G83" s="437"/>
      <c r="H83" s="437"/>
      <c r="I83" s="437"/>
      <c r="J83" s="103"/>
      <c r="K83" s="103"/>
      <c r="L83" s="199"/>
      <c r="M83" s="232"/>
      <c r="N83" s="232"/>
      <c r="O83" s="161"/>
      <c r="P83" s="187" t="e">
        <f>L83*($P$49-'Data Tables'!L5)</f>
        <v>#VALUE!</v>
      </c>
      <c r="Q83" s="183"/>
      <c r="R83" s="161" t="s">
        <v>199</v>
      </c>
      <c r="S83" s="47"/>
      <c r="T83" s="230"/>
      <c r="U83" s="64"/>
      <c r="V83" s="64"/>
      <c r="W83" s="64"/>
      <c r="X83" s="64"/>
      <c r="Y83" s="64"/>
      <c r="Z83" s="64"/>
      <c r="AA83" s="64"/>
      <c r="AB83" s="64"/>
    </row>
    <row r="84" spans="2:28" ht="15.6">
      <c r="B84" s="44"/>
      <c r="C84" s="40"/>
      <c r="D84" s="47"/>
      <c r="E84" s="437" t="s">
        <v>310</v>
      </c>
      <c r="F84" s="437"/>
      <c r="G84" s="437"/>
      <c r="H84" s="437"/>
      <c r="I84" s="437"/>
      <c r="J84" s="103"/>
      <c r="K84" s="103"/>
      <c r="L84" s="199"/>
      <c r="M84" s="232"/>
      <c r="N84" s="232"/>
      <c r="O84" s="161"/>
      <c r="P84" s="187" t="e">
        <f>L84*($P$49-'Data Tables'!L6)</f>
        <v>#VALUE!</v>
      </c>
      <c r="Q84" s="183"/>
      <c r="R84" s="161" t="s">
        <v>199</v>
      </c>
      <c r="S84" s="47"/>
      <c r="T84" s="230"/>
      <c r="U84" s="64"/>
      <c r="V84" s="64"/>
      <c r="W84" s="64"/>
      <c r="X84" s="64"/>
      <c r="Y84" s="64"/>
      <c r="Z84" s="64"/>
      <c r="AA84" s="64"/>
      <c r="AB84" s="64"/>
    </row>
    <row r="85" spans="2:28" ht="15.6">
      <c r="B85" s="44"/>
      <c r="C85" s="40"/>
      <c r="D85" s="47"/>
      <c r="E85" s="437" t="s">
        <v>311</v>
      </c>
      <c r="F85" s="437"/>
      <c r="G85" s="437"/>
      <c r="H85" s="437"/>
      <c r="I85" s="437"/>
      <c r="J85" s="103"/>
      <c r="K85" s="103"/>
      <c r="L85" s="199"/>
      <c r="M85" s="232"/>
      <c r="N85" s="232"/>
      <c r="O85" s="161"/>
      <c r="P85" s="187" t="e">
        <f>L85*($P$49-'Data Tables'!L4)</f>
        <v>#VALUE!</v>
      </c>
      <c r="Q85" s="183"/>
      <c r="R85" s="161" t="s">
        <v>199</v>
      </c>
      <c r="S85" s="47"/>
      <c r="T85" s="230"/>
      <c r="U85" s="64"/>
      <c r="V85" s="64"/>
      <c r="W85" s="64"/>
      <c r="X85" s="64"/>
      <c r="Y85" s="64"/>
      <c r="Z85" s="64"/>
      <c r="AA85" s="64"/>
      <c r="AB85" s="64"/>
    </row>
    <row r="86" spans="2:28" ht="30" customHeight="1">
      <c r="B86" s="44"/>
      <c r="C86" s="40"/>
      <c r="D86" s="47"/>
      <c r="E86" s="47"/>
      <c r="F86" s="47"/>
      <c r="G86" s="47"/>
      <c r="H86" s="47"/>
      <c r="I86" s="47"/>
      <c r="J86" s="47"/>
      <c r="K86" s="47"/>
      <c r="L86" s="237"/>
      <c r="M86" s="237"/>
      <c r="N86" s="237"/>
      <c r="O86" s="161"/>
      <c r="P86" s="161"/>
      <c r="Q86" s="161"/>
      <c r="R86" s="161"/>
      <c r="S86" s="47"/>
      <c r="T86" s="230"/>
      <c r="U86" s="64"/>
      <c r="V86" s="64"/>
      <c r="W86" s="64"/>
      <c r="X86" s="64"/>
      <c r="Y86" s="64"/>
      <c r="Z86" s="64"/>
      <c r="AA86" s="64"/>
      <c r="AB86" s="64"/>
    </row>
    <row r="87" spans="2:28" ht="29.45" customHeight="1">
      <c r="B87" s="44"/>
      <c r="C87" s="40"/>
      <c r="D87" s="47"/>
      <c r="E87" s="47"/>
      <c r="F87" s="393" t="s">
        <v>316</v>
      </c>
      <c r="G87" s="393"/>
      <c r="H87" s="393"/>
      <c r="I87" s="393"/>
      <c r="J87" s="105"/>
      <c r="K87" s="47"/>
      <c r="L87" s="203">
        <f>(SUM(L80:L85))</f>
        <v>0</v>
      </c>
      <c r="M87" s="236"/>
      <c r="N87" s="236"/>
      <c r="O87" s="167"/>
      <c r="P87" s="192" t="e">
        <f>L10-(SUM(P80:P85))</f>
        <v>#VALUE!</v>
      </c>
      <c r="Q87" s="188"/>
      <c r="R87" s="167" t="s">
        <v>206</v>
      </c>
      <c r="S87" s="47"/>
      <c r="T87" s="230"/>
      <c r="U87" s="64"/>
      <c r="V87" s="64"/>
      <c r="W87" s="64"/>
      <c r="X87" s="64"/>
      <c r="Y87" s="64"/>
      <c r="Z87" s="64"/>
      <c r="AA87" s="64"/>
      <c r="AB87" s="64"/>
    </row>
    <row r="88" spans="2:28" ht="15" customHeight="1">
      <c r="B88" s="44"/>
      <c r="C88" s="40"/>
      <c r="D88" s="47"/>
      <c r="E88" s="47"/>
      <c r="F88" s="47"/>
      <c r="G88" s="47"/>
      <c r="H88" s="47"/>
      <c r="I88" s="47"/>
      <c r="J88" s="47"/>
      <c r="K88" s="47"/>
      <c r="L88" s="47"/>
      <c r="M88" s="47"/>
      <c r="N88" s="47"/>
      <c r="O88" s="47"/>
      <c r="P88" s="47"/>
      <c r="Q88" s="47"/>
      <c r="R88" s="47"/>
      <c r="S88" s="47"/>
      <c r="T88" s="230"/>
      <c r="U88" s="64"/>
      <c r="V88" s="64"/>
      <c r="W88" s="64"/>
      <c r="X88" s="64"/>
      <c r="Y88" s="64"/>
      <c r="Z88" s="64"/>
      <c r="AA88" s="64"/>
      <c r="AB88" s="64"/>
    </row>
    <row r="89" spans="2:28" ht="51.75" customHeight="1" thickBot="1">
      <c r="B89" s="48"/>
      <c r="C89" s="49"/>
      <c r="D89" s="228"/>
      <c r="E89" s="457" t="s">
        <v>318</v>
      </c>
      <c r="F89" s="457"/>
      <c r="G89" s="457"/>
      <c r="H89" s="457"/>
      <c r="I89" s="457"/>
      <c r="J89" s="457"/>
      <c r="K89" s="457"/>
      <c r="L89" s="457"/>
      <c r="M89" s="457"/>
      <c r="N89" s="457"/>
      <c r="O89" s="457"/>
      <c r="P89" s="457"/>
      <c r="Q89" s="457"/>
      <c r="R89" s="457"/>
      <c r="S89" s="457"/>
      <c r="T89" s="238"/>
      <c r="U89" s="64"/>
      <c r="V89" s="64"/>
      <c r="W89" s="64"/>
      <c r="X89" s="64"/>
      <c r="Y89" s="64"/>
      <c r="Z89" s="64"/>
      <c r="AA89" s="64"/>
      <c r="AB89" s="64"/>
    </row>
    <row r="90" spans="2:28" ht="18" customHeight="1">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row>
    <row r="93" spans="2:28"/>
    <row r="94" spans="2:28"/>
  </sheetData>
  <sheetProtection selectLockedCells="1"/>
  <mergeCells count="88">
    <mergeCell ref="S22:W22"/>
    <mergeCell ref="F3:S3"/>
    <mergeCell ref="E4:S6"/>
    <mergeCell ref="F8:K8"/>
    <mergeCell ref="F13:K13"/>
    <mergeCell ref="S15:W15"/>
    <mergeCell ref="E17:O17"/>
    <mergeCell ref="S17:X17"/>
    <mergeCell ref="S18:X18"/>
    <mergeCell ref="F19:K19"/>
    <mergeCell ref="S20:W20"/>
    <mergeCell ref="F21:K21"/>
    <mergeCell ref="S21:W21"/>
    <mergeCell ref="S23:W23"/>
    <mergeCell ref="R24:AB24"/>
    <mergeCell ref="F25:K25"/>
    <mergeCell ref="S25:W25"/>
    <mergeCell ref="E26:I26"/>
    <mergeCell ref="S26:W26"/>
    <mergeCell ref="Y26:AA26"/>
    <mergeCell ref="E27:I27"/>
    <mergeCell ref="S27:W27"/>
    <mergeCell ref="Y27:AA27"/>
    <mergeCell ref="E28:I28"/>
    <mergeCell ref="S28:W28"/>
    <mergeCell ref="Y28:AA28"/>
    <mergeCell ref="E29:I29"/>
    <mergeCell ref="S29:W29"/>
    <mergeCell ref="E30:I30"/>
    <mergeCell ref="S30:W30"/>
    <mergeCell ref="E31:I31"/>
    <mergeCell ref="S31:W31"/>
    <mergeCell ref="E32:I32"/>
    <mergeCell ref="S32:W32"/>
    <mergeCell ref="E33:I33"/>
    <mergeCell ref="S33:W33"/>
    <mergeCell ref="E34:I34"/>
    <mergeCell ref="S34:W34"/>
    <mergeCell ref="E40:I40"/>
    <mergeCell ref="S40:W40"/>
    <mergeCell ref="Y40:AA40"/>
    <mergeCell ref="E35:I35"/>
    <mergeCell ref="S35:W35"/>
    <mergeCell ref="E36:I36"/>
    <mergeCell ref="S36:W36"/>
    <mergeCell ref="E37:I37"/>
    <mergeCell ref="S37:W37"/>
    <mergeCell ref="E38:I38"/>
    <mergeCell ref="S38:W38"/>
    <mergeCell ref="E39:I39"/>
    <mergeCell ref="S39:W39"/>
    <mergeCell ref="Y39:AA39"/>
    <mergeCell ref="E54:I54"/>
    <mergeCell ref="E41:I41"/>
    <mergeCell ref="S41:W41"/>
    <mergeCell ref="Y41:AA41"/>
    <mergeCell ref="E42:I42"/>
    <mergeCell ref="S42:W42"/>
    <mergeCell ref="Y42:AA42"/>
    <mergeCell ref="S44:W44"/>
    <mergeCell ref="E46:I46"/>
    <mergeCell ref="S46:W46"/>
    <mergeCell ref="I49:O49"/>
    <mergeCell ref="F52:K52"/>
    <mergeCell ref="E70:I70"/>
    <mergeCell ref="E55:I55"/>
    <mergeCell ref="E56:I56"/>
    <mergeCell ref="E57:I57"/>
    <mergeCell ref="E58:I58"/>
    <mergeCell ref="E59:I59"/>
    <mergeCell ref="F61:K61"/>
    <mergeCell ref="G62:K62"/>
    <mergeCell ref="E63:S63"/>
    <mergeCell ref="E67:I67"/>
    <mergeCell ref="E68:I68"/>
    <mergeCell ref="E69:I69"/>
    <mergeCell ref="E89:S89"/>
    <mergeCell ref="E71:I71"/>
    <mergeCell ref="E72:I72"/>
    <mergeCell ref="F74:I74"/>
    <mergeCell ref="E76:S76"/>
    <mergeCell ref="E80:I80"/>
    <mergeCell ref="E81:I81"/>
    <mergeCell ref="E82:I82"/>
    <mergeCell ref="E83:I83"/>
    <mergeCell ref="E84:I84"/>
    <mergeCell ref="E85:I85"/>
    <mergeCell ref="F87:I87"/>
  </mergeCells>
  <dataValidations count="4">
    <dataValidation type="list" allowBlank="1" showInputMessage="1" showErrorMessage="1" sqref="X15 L15 X23 N21 N26:N42 X26:X42" xr:uid="{1618EAC1-9A25-4B55-88D6-7D7526186CAE}">
      <formula1>"Yes,No"</formula1>
    </dataValidation>
    <dataValidation type="list" allowBlank="1" showInputMessage="1" showErrorMessage="1" sqref="X20" xr:uid="{2F5F51DF-9B29-40F4-A359-FDC441AC26D4}">
      <formula1>"Tone, Parrett, Brue &amp; Axe"</formula1>
    </dataValidation>
    <dataValidation type="list" allowBlank="1" showInputMessage="1" showErrorMessage="1" sqref="X21" xr:uid="{F063028F-C73D-4A80-A0A8-F570411E1BA2}">
      <formula1>"Freely draining, Impermeable - drained for arable, Impermeable - drained for arable and grassland"</formula1>
    </dataValidation>
    <dataValidation type="list" allowBlank="1" showInputMessage="1" showErrorMessage="1" sqref="X22" xr:uid="{4DAAD8C8-AF8C-475A-A230-C6299C898361}">
      <formula1>"650-675,675-700,700-750,750-800,800-850,850-900,900-950,950-1000,1000-1100,1100-1200,1200-1400"</formula1>
    </dataValidation>
  </dataValidations>
  <pageMargins left="0.25" right="0.25" top="0.75" bottom="0.75" header="0.3" footer="0.3"/>
  <pageSetup paperSize="9" scale="45" orientation="portrait" horizontalDpi="360" verticalDpi="360" r:id="rId1"/>
  <headerFooter>
    <oddHeader>&amp;LPhosphate Budget Calculator&amp;CStage 5</oddHeader>
    <oddFooter>&amp;LVersion 2.2&amp;R&amp;D</oddFooter>
  </headerFooter>
  <customProperties>
    <customPr name="SSC_SHEET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c1666d-84f8-4499-a0a7-a2c38ba56b1c" xsi:nil="true"/>
    <lcf76f155ced4ddcb4097134ff3c332f xmlns="cdc2f969-e9db-4e89-88e2-cd073ab8e4e6">
      <Terms xmlns="http://schemas.microsoft.com/office/infopath/2007/PartnerControls"/>
    </lcf76f155ced4ddcb4097134ff3c332f>
    <Pagelink xmlns="cdc2f969-e9db-4e89-88e2-cd073ab8e4e6">
      <Url xsi:nil="true"/>
      <Description xsi:nil="true"/>
    </Pagelink>
    <Notes xmlns="cdc2f969-e9db-4e89-88e2-cd073ab8e4e6" xsi:nil="true"/>
  </documentManagement>
</p:properties>
</file>

<file path=customXml/item3.xml><?xml version="1.0" encoding="utf-8"?>
<?mso-contentType ?>
<SharedContentType xmlns="Microsoft.SharePoint.Taxonomy.ContentTypeSync" SourceId="7b6b569b-509a-467d-b105-d97728d3fc11"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437637DE69CC4744B096B436BFFE11F0" ma:contentTypeVersion="19" ma:contentTypeDescription="Create a new document." ma:contentTypeScope="" ma:versionID="26a0c73f3a6e366bc1bd28f146d07815">
  <xsd:schema xmlns:xsd="http://www.w3.org/2001/XMLSchema" xmlns:xs="http://www.w3.org/2001/XMLSchema" xmlns:p="http://schemas.microsoft.com/office/2006/metadata/properties" xmlns:ns2="cdc2f969-e9db-4e89-88e2-cd073ab8e4e6" xmlns:ns3="fec1666d-84f8-4499-a0a7-a2c38ba56b1c" targetNamespace="http://schemas.microsoft.com/office/2006/metadata/properties" ma:root="true" ma:fieldsID="fccb20cc9ec9b47d797b38cdb910e2be" ns2:_="" ns3:_="">
    <xsd:import namespace="cdc2f969-e9db-4e89-88e2-cd073ab8e4e6"/>
    <xsd:import namespace="fec1666d-84f8-4499-a0a7-a2c38ba56b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Pagelink"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2f969-e9db-4e89-88e2-cd073ab8e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b6b569b-509a-467d-b105-d97728d3fc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Pagelink" ma:index="25" nillable="true" ma:displayName="Page link" ma:format="Hyperlink" ma:internalName="Pagelink">
      <xsd:complexType>
        <xsd:complexContent>
          <xsd:extension base="dms:URL">
            <xsd:sequence>
              <xsd:element name="Url" type="dms:ValidUrl" minOccurs="0" nillable="true"/>
              <xsd:element name="Description" type="xsd:string" nillable="true"/>
            </xsd:sequence>
          </xsd:extension>
        </xsd:complexContent>
      </xsd:complexType>
    </xsd:element>
    <xsd:element name="Notes" ma:index="26"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1666d-84f8-4499-a0a7-a2c38ba56b1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e5de265-de1c-4fdb-990a-e1f4ad1fe3e5}" ma:internalName="TaxCatchAll" ma:showField="CatchAllData" ma:web="fec1666d-84f8-4499-a0a7-a2c38ba56b1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44C085-4FEE-4083-9708-1688CDFB4211}"/>
</file>

<file path=customXml/itemProps2.xml><?xml version="1.0" encoding="utf-8"?>
<ds:datastoreItem xmlns:ds="http://schemas.openxmlformats.org/officeDocument/2006/customXml" ds:itemID="{D2BFDF2B-B01E-4ED2-961B-C2908D1A5CA4}"/>
</file>

<file path=customXml/itemProps3.xml><?xml version="1.0" encoding="utf-8"?>
<ds:datastoreItem xmlns:ds="http://schemas.openxmlformats.org/officeDocument/2006/customXml" ds:itemID="{F6ED2DA4-FAC0-49F7-B58D-90E479510D65}"/>
</file>

<file path=customXml/itemProps4.xml><?xml version="1.0" encoding="utf-8"?>
<ds:datastoreItem xmlns:ds="http://schemas.openxmlformats.org/officeDocument/2006/customXml" ds:itemID="{BD3B6BB2-B91C-4EC1-8DDB-F3A907CFBA2D}"/>
</file>

<file path=docMetadata/LabelInfo.xml><?xml version="1.0" encoding="utf-8"?>
<clbl:labelList xmlns:clbl="http://schemas.microsoft.com/office/2020/mipLabelMetadata">
  <clbl:label id="{7d396678-c698-4451-b9ab-bac3c3310917}" enabled="1" method="Privileged" siteId="{b524f606-f77a-4aa2-8da2-fe70343b0cce}" removed="0"/>
  <clbl:label id="{82fa3fd3-029b-403d-91b4-1dc930cb0e60}" enabled="1" method="Standard" siteId="{4ae48b41-0137-4599-8661-fc641fe77bea}"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Royal HaskoningDHV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Bowers</dc:creator>
  <cp:keywords/>
  <dc:description/>
  <cp:lastModifiedBy/>
  <cp:revision/>
  <dcterms:created xsi:type="dcterms:W3CDTF">2020-11-21T09:26:11Z</dcterms:created>
  <dcterms:modified xsi:type="dcterms:W3CDTF">2025-07-02T11:46:59Z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0x010100437637DE69CC4744B096B436BFFE11F0</vt:lpwstr>
  </property>
  <property fmtid="{D5CDD505-2E9C-101B-9397-08002B2CF9AE}" pid="3" name="Order">
    <vt:r8>18100</vt:r8>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y fmtid="{D5CDD505-2E9C-101B-9397-08002B2CF9AE}" pid="38" name="MediaServiceImageTags">
    <vt:lpwstr/>
  </property>
</Properties>
</file>